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ink/ink1.xml" ContentType="application/inkml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pdime/Desktop/M.Sc.PortfolioManagement/Project/"/>
    </mc:Choice>
  </mc:AlternateContent>
  <xr:revisionPtr revIDLastSave="0" documentId="8_{F846E224-EE18-294A-867B-F8E7A2031921}" xr6:coauthVersionLast="47" xr6:coauthVersionMax="47" xr10:uidLastSave="{00000000-0000-0000-0000-000000000000}"/>
  <bookViews>
    <workbookView xWindow="0" yWindow="660" windowWidth="30240" windowHeight="18980" xr2:uid="{82C8B8E4-4911-7A43-BCED-EEA3E03DDBFC}"/>
  </bookViews>
  <sheets>
    <sheet name="Capital Allocation" sheetId="6" r:id="rId1"/>
    <sheet name="Asset Classes Allocation" sheetId="5" r:id="rId2"/>
    <sheet name="Security Allocation" sheetId="2" r:id="rId3"/>
    <sheet name="Data. Securities" sheetId="4" r:id="rId4"/>
    <sheet name="Data. Bond Duration &amp; Convexity" sheetId="7" r:id="rId5"/>
    <sheet name="Section 4" sheetId="23" r:id="rId6"/>
    <sheet name="Section 5" sheetId="20" r:id="rId7"/>
    <sheet name="Section 6" sheetId="21" r:id="rId8"/>
    <sheet name="Section 7" sheetId="22" r:id="rId9"/>
  </sheets>
  <externalReferences>
    <externalReference r:id="rId10"/>
    <externalReference r:id="rId11"/>
    <externalReference r:id="rId1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Div1" localSheetId="3">#REF!</definedName>
    <definedName name="_Div1">#REF!</definedName>
    <definedName name="_Div2" localSheetId="3">#REF!</definedName>
    <definedName name="_Div2">#REF!</definedName>
    <definedName name="_Div3" localSheetId="3">#REF!</definedName>
    <definedName name="_Div3">#REF!</definedName>
    <definedName name="_Div4" localSheetId="3">#REF!</definedName>
    <definedName name="_Div4">#REF!</definedName>
    <definedName name="_Regression_Int">1</definedName>
    <definedName name="coup">[1]Convexity!$C$7</definedName>
    <definedName name="g_firm" localSheetId="4">#REF!</definedName>
    <definedName name="g_firm" localSheetId="3">#REF!</definedName>
    <definedName name="g_firm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42436.8542824074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k" localSheetId="4">#REF!</definedName>
    <definedName name="k" localSheetId="3">#REF!</definedName>
    <definedName name="k">#REF!</definedName>
    <definedName name="k_eq" localSheetId="3">#REF!</definedName>
    <definedName name="k_eq">#REF!</definedName>
    <definedName name="mat">[1]Convexity!$C$9</definedName>
    <definedName name="price">[1]Convexity!$C$10</definedName>
    <definedName name="Price4" localSheetId="4">#REF!</definedName>
    <definedName name="Price4" localSheetId="3">#REF!</definedName>
    <definedName name="Price4">#REF!</definedName>
    <definedName name="_xlnm.Print_Area" localSheetId="1">'Asset Classes Allocation'!$B$2:$G$40</definedName>
    <definedName name="_xlnm.Print_Area" localSheetId="4">#REF!</definedName>
    <definedName name="_xlnm.Print_Area" localSheetId="3">#REF!</definedName>
    <definedName name="_xlnm.Print_Area">#REF!</definedName>
    <definedName name="Print_Area_MI" localSheetId="3">#REF!</definedName>
    <definedName name="Print_Area_MI">#REF!</definedName>
    <definedName name="rdebt" localSheetId="3">#REF!</definedName>
    <definedName name="rdebt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elling_Price">'[2]Base Case'!$B$11</definedName>
    <definedName name="solver_adj" localSheetId="1" hidden="1">'Asset Classes Allocation'!$B$24</definedName>
    <definedName name="solver_adj" localSheetId="0" hidden="1">'Capital Allocation'!$D$11</definedName>
    <definedName name="solver_adj" localSheetId="2" hidden="1">'Security Allocation'!$E$62</definedName>
    <definedName name="solver_cvg" localSheetId="1" hidden="1">0.0001</definedName>
    <definedName name="solver_cvg" localSheetId="0" hidden="1">0.0001</definedName>
    <definedName name="solver_cvg" localSheetId="2" hidden="1">0.0001</definedName>
    <definedName name="solver_drv" localSheetId="1" hidden="1">1</definedName>
    <definedName name="solver_drv" localSheetId="0" hidden="1">1</definedName>
    <definedName name="solver_drv" localSheetId="2" hidden="1">1</definedName>
    <definedName name="solver_eng" localSheetId="1" hidden="1">1</definedName>
    <definedName name="solver_eng" localSheetId="0" hidden="1">1</definedName>
    <definedName name="solver_eng" localSheetId="2" hidden="1">1</definedName>
    <definedName name="solver_itr" localSheetId="1" hidden="1">2147483647</definedName>
    <definedName name="solver_itr" localSheetId="0" hidden="1">2147483647</definedName>
    <definedName name="solver_itr" localSheetId="2" hidden="1">2147483647</definedName>
    <definedName name="solver_lhs1" localSheetId="1" hidden="1">'Asset Classes Allocation'!$B$24</definedName>
    <definedName name="solver_lhs1" localSheetId="0" hidden="1">'Capital Allocation'!$D$11</definedName>
    <definedName name="solver_lhs1" localSheetId="2" hidden="1">'Security Allocation'!$E$62</definedName>
    <definedName name="solver_lhs10" localSheetId="2" hidden="1">'Security Allocation'!$I$62</definedName>
    <definedName name="solver_lhs11" localSheetId="2" hidden="1">'Security Allocation'!$J$62</definedName>
    <definedName name="solver_lhs12" localSheetId="2" hidden="1">'Security Allocation'!$J$62</definedName>
    <definedName name="solver_lhs2" localSheetId="1" hidden="1">'Asset Classes Allocation'!$B$24</definedName>
    <definedName name="solver_lhs2" localSheetId="0" hidden="1">'Capital Allocation'!$D$11</definedName>
    <definedName name="solver_lhs2" localSheetId="2" hidden="1">'Security Allocation'!$E$62</definedName>
    <definedName name="solver_lhs3" localSheetId="2" hidden="1">'Security Allocation'!$F$62</definedName>
    <definedName name="solver_lhs4" localSheetId="2" hidden="1">'Security Allocation'!$F$62</definedName>
    <definedName name="solver_lhs5" localSheetId="2" hidden="1">'Security Allocation'!$G$62</definedName>
    <definedName name="solver_lhs6" localSheetId="2" hidden="1">'Security Allocation'!$G$62</definedName>
    <definedName name="solver_lhs7" localSheetId="2" hidden="1">'Security Allocation'!$H$62</definedName>
    <definedName name="solver_lhs8" localSheetId="2" hidden="1">'Security Allocation'!$H$62</definedName>
    <definedName name="solver_lhs9" localSheetId="2" hidden="1">'Security Allocation'!$I$62</definedName>
    <definedName name="solver_lin" localSheetId="1" hidden="1">2</definedName>
    <definedName name="solver_lin" localSheetId="0" hidden="1">2</definedName>
    <definedName name="solver_lin" localSheetId="2" hidden="1">2</definedName>
    <definedName name="solver_mip" localSheetId="1" hidden="1">2147483647</definedName>
    <definedName name="solver_mip" localSheetId="0" hidden="1">2147483647</definedName>
    <definedName name="solver_mip" localSheetId="2" hidden="1">2147483647</definedName>
    <definedName name="solver_mni" localSheetId="1" hidden="1">30</definedName>
    <definedName name="solver_mni" localSheetId="0" hidden="1">30</definedName>
    <definedName name="solver_mni" localSheetId="2" hidden="1">30</definedName>
    <definedName name="solver_mrt" localSheetId="1" hidden="1">0.075</definedName>
    <definedName name="solver_mrt" localSheetId="0" hidden="1">0.075</definedName>
    <definedName name="solver_mrt" localSheetId="2" hidden="1">0.075</definedName>
    <definedName name="solver_msl" localSheetId="1" hidden="1">2</definedName>
    <definedName name="solver_msl" localSheetId="0" hidden="1">2</definedName>
    <definedName name="solver_msl" localSheetId="2" hidden="1">2</definedName>
    <definedName name="solver_neg" localSheetId="1" hidden="1">1</definedName>
    <definedName name="solver_neg" localSheetId="0" hidden="1">1</definedName>
    <definedName name="solver_neg" localSheetId="2" hidden="1">1</definedName>
    <definedName name="solver_nod" localSheetId="1" hidden="1">2147483647</definedName>
    <definedName name="solver_nod" localSheetId="0" hidden="1">2147483647</definedName>
    <definedName name="solver_nod" localSheetId="2" hidden="1">2147483647</definedName>
    <definedName name="solver_num" localSheetId="1" hidden="1">2</definedName>
    <definedName name="solver_num" localSheetId="0" hidden="1">2</definedName>
    <definedName name="solver_num" localSheetId="2" hidden="1">2</definedName>
    <definedName name="solver_opt" localSheetId="1" hidden="1">'Asset Classes Allocation'!$E$24</definedName>
    <definedName name="solver_opt" localSheetId="0" hidden="1">'Capital Allocation'!$D$18</definedName>
    <definedName name="solver_opt" localSheetId="2" hidden="1">'Security Allocation'!$C$66</definedName>
    <definedName name="solver_pre" localSheetId="1" hidden="1">0.000001</definedName>
    <definedName name="solver_pre" localSheetId="0" hidden="1">0.000001</definedName>
    <definedName name="solver_pre" localSheetId="2" hidden="1">0.000001</definedName>
    <definedName name="solver_rbv" localSheetId="1" hidden="1">1</definedName>
    <definedName name="solver_rbv" localSheetId="0" hidden="1">1</definedName>
    <definedName name="solver_rbv" localSheetId="2" hidden="1">1</definedName>
    <definedName name="solver_rel1" localSheetId="1" hidden="1">1</definedName>
    <definedName name="solver_rel1" localSheetId="0" hidden="1">1</definedName>
    <definedName name="solver_rel1" localSheetId="2" hidden="1">1</definedName>
    <definedName name="solver_rel10" localSheetId="2" hidden="1">3</definedName>
    <definedName name="solver_rel11" localSheetId="2" hidden="1">1</definedName>
    <definedName name="solver_rel12" localSheetId="2" hidden="1">3</definedName>
    <definedName name="solver_rel2" localSheetId="1" hidden="1">3</definedName>
    <definedName name="solver_rel2" localSheetId="0" hidden="1">3</definedName>
    <definedName name="solver_rel2" localSheetId="2" hidden="1">3</definedName>
    <definedName name="solver_rel3" localSheetId="2" hidden="1">1</definedName>
    <definedName name="solver_rel4" localSheetId="2" hidden="1">3</definedName>
    <definedName name="solver_rel5" localSheetId="2" hidden="1">1</definedName>
    <definedName name="solver_rel6" localSheetId="2" hidden="1">3</definedName>
    <definedName name="solver_rel7" localSheetId="2" hidden="1">1</definedName>
    <definedName name="solver_rel8" localSheetId="2" hidden="1">3</definedName>
    <definedName name="solver_rel9" localSheetId="2" hidden="1">1</definedName>
    <definedName name="solver_rhs1" localSheetId="1" hidden="1">1</definedName>
    <definedName name="solver_rhs1" localSheetId="0" hidden="1">1</definedName>
    <definedName name="solver_rhs1" localSheetId="2" hidden="1">1</definedName>
    <definedName name="solver_rhs10" localSheetId="2" hidden="1">0</definedName>
    <definedName name="solver_rhs11" localSheetId="2" hidden="1">1</definedName>
    <definedName name="solver_rhs12" localSheetId="2" hidden="1">0</definedName>
    <definedName name="solver_rhs2" localSheetId="1" hidden="1">0</definedName>
    <definedName name="solver_rhs2" localSheetId="0" hidden="1">0</definedName>
    <definedName name="solver_rhs2" localSheetId="2" hidden="1">0</definedName>
    <definedName name="solver_rhs3" localSheetId="2" hidden="1">1</definedName>
    <definedName name="solver_rhs4" localSheetId="2" hidden="1">0</definedName>
    <definedName name="solver_rhs5" localSheetId="2" hidden="1">1</definedName>
    <definedName name="solver_rhs6" localSheetId="2" hidden="1">0</definedName>
    <definedName name="solver_rhs7" localSheetId="2" hidden="1">1</definedName>
    <definedName name="solver_rhs8" localSheetId="2" hidden="1">0</definedName>
    <definedName name="solver_rhs9" localSheetId="2" hidden="1">1</definedName>
    <definedName name="solver_rlx" localSheetId="1" hidden="1">2</definedName>
    <definedName name="solver_rlx" localSheetId="0" hidden="1">2</definedName>
    <definedName name="solver_rlx" localSheetId="2" hidden="1">2</definedName>
    <definedName name="solver_rsd" localSheetId="1" hidden="1">0</definedName>
    <definedName name="solver_rsd" localSheetId="0" hidden="1">0</definedName>
    <definedName name="solver_rsd" localSheetId="2" hidden="1">0</definedName>
    <definedName name="solver_scl" localSheetId="1" hidden="1">1</definedName>
    <definedName name="solver_scl" localSheetId="0" hidden="1">1</definedName>
    <definedName name="solver_scl" localSheetId="2" hidden="1">1</definedName>
    <definedName name="solver_sho" localSheetId="1" hidden="1">2</definedName>
    <definedName name="solver_sho" localSheetId="0" hidden="1">2</definedName>
    <definedName name="solver_sho" localSheetId="2" hidden="1">2</definedName>
    <definedName name="solver_ssz" localSheetId="1" hidden="1">100</definedName>
    <definedName name="solver_ssz" localSheetId="0" hidden="1">100</definedName>
    <definedName name="solver_ssz" localSheetId="2" hidden="1">100</definedName>
    <definedName name="solver_tim" localSheetId="1" hidden="1">2147483647</definedName>
    <definedName name="solver_tim" localSheetId="0" hidden="1">2147483647</definedName>
    <definedName name="solver_tim" localSheetId="2" hidden="1">2147483647</definedName>
    <definedName name="solver_tol" localSheetId="1" hidden="1">0.01</definedName>
    <definedName name="solver_tol" localSheetId="0" hidden="1">0.01</definedName>
    <definedName name="solver_tol" localSheetId="2" hidden="1">0.01</definedName>
    <definedName name="solver_typ" localSheetId="1" hidden="1">1</definedName>
    <definedName name="solver_typ" localSheetId="0" hidden="1">1</definedName>
    <definedName name="solver_typ" localSheetId="2" hidden="1">1</definedName>
    <definedName name="solver_val" localSheetId="1" hidden="1">0</definedName>
    <definedName name="solver_val" localSheetId="0" hidden="1">0</definedName>
    <definedName name="solver_val" localSheetId="2" hidden="1">0.5</definedName>
    <definedName name="solver_ver" localSheetId="1" hidden="1">2</definedName>
    <definedName name="solver_ver" localSheetId="0" hidden="1">2</definedName>
    <definedName name="solver_ver" localSheetId="2" hidden="1">2</definedName>
    <definedName name="tax_rate" localSheetId="4">#REF!</definedName>
    <definedName name="tax_rate" localSheetId="3">#REF!</definedName>
    <definedName name="tax_rate">#REF!</definedName>
    <definedName name="taxtable" localSheetId="1">#REF!</definedName>
    <definedName name="taxtable" localSheetId="0">#REF!</definedName>
    <definedName name="taxtable" localSheetId="3">#REF!</definedName>
    <definedName name="taxtable" localSheetId="2">#REF!</definedName>
    <definedName name="taxtable">#REF!</definedName>
    <definedName name="term_g" localSheetId="3">#REF!</definedName>
    <definedName name="term_g">#REF!</definedName>
    <definedName name="Variable_Cost_per_unit">'[2]Base Case'!$B$12</definedName>
    <definedName name="WACC_5" localSheetId="4">#REF!</definedName>
    <definedName name="WACC_5" localSheetId="3">#REF!</definedName>
    <definedName name="WACC_5">#REF!</definedName>
    <definedName name="ytm">[1]Convexity!$C$8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4" l="1"/>
  <c r="I15" i="4"/>
  <c r="J15" i="4"/>
  <c r="K15" i="4"/>
  <c r="L15" i="4"/>
  <c r="M15" i="4"/>
  <c r="G15" i="4"/>
  <c r="N18" i="4"/>
  <c r="B33" i="2" a="1"/>
  <c r="B33" i="2" s="1"/>
  <c r="B22" i="2" a="1"/>
  <c r="B22" i="2" s="1"/>
  <c r="B11" i="2" a="1"/>
  <c r="B11" i="2" s="1"/>
  <c r="C11" i="7"/>
  <c r="J25" i="4" l="1"/>
  <c r="J40" i="2" l="1"/>
  <c r="J18" i="2"/>
  <c r="J3" i="2"/>
  <c r="J10" i="2" s="1"/>
  <c r="Z6" i="4"/>
  <c r="AK43" i="4"/>
  <c r="AL43" i="4" s="1"/>
  <c r="AK44" i="4"/>
  <c r="AL44" i="4" s="1"/>
  <c r="AK45" i="4"/>
  <c r="AL45" i="4" s="1"/>
  <c r="AK46" i="4"/>
  <c r="AL46" i="4" s="1"/>
  <c r="AK47" i="4"/>
  <c r="AL47" i="4" s="1"/>
  <c r="AK48" i="4"/>
  <c r="AL48" i="4" s="1"/>
  <c r="AK49" i="4"/>
  <c r="AL49" i="4" s="1"/>
  <c r="AK50" i="4"/>
  <c r="AL50" i="4" s="1"/>
  <c r="AK51" i="4"/>
  <c r="AL51" i="4" s="1"/>
  <c r="AK52" i="4"/>
  <c r="AL52" i="4" s="1"/>
  <c r="AK53" i="4"/>
  <c r="AL53" i="4" s="1"/>
  <c r="AK54" i="4"/>
  <c r="AL54" i="4" s="1"/>
  <c r="AK55" i="4"/>
  <c r="AL55" i="4" s="1"/>
  <c r="AK56" i="4"/>
  <c r="AL56" i="4" s="1"/>
  <c r="AK57" i="4"/>
  <c r="AL57" i="4" s="1"/>
  <c r="AK58" i="4"/>
  <c r="AL58" i="4" s="1"/>
  <c r="AK59" i="4"/>
  <c r="AL59" i="4" s="1"/>
  <c r="AK60" i="4"/>
  <c r="AL60" i="4" s="1"/>
  <c r="AK61" i="4"/>
  <c r="AL61" i="4" s="1"/>
  <c r="AK62" i="4"/>
  <c r="AL62" i="4" s="1"/>
  <c r="AK63" i="4"/>
  <c r="AL63" i="4" s="1"/>
  <c r="AK64" i="4"/>
  <c r="AL64" i="4" s="1"/>
  <c r="AK65" i="4"/>
  <c r="AL65" i="4" s="1"/>
  <c r="AK66" i="4"/>
  <c r="AL66" i="4" s="1"/>
  <c r="AK67" i="4"/>
  <c r="AL67" i="4" s="1"/>
  <c r="AK68" i="4"/>
  <c r="AL68" i="4" s="1"/>
  <c r="AK69" i="4"/>
  <c r="AL69" i="4" s="1"/>
  <c r="AK70" i="4"/>
  <c r="AL70" i="4" s="1"/>
  <c r="AK71" i="4"/>
  <c r="AL71" i="4" s="1"/>
  <c r="AK72" i="4"/>
  <c r="AL72" i="4" s="1"/>
  <c r="AK73" i="4"/>
  <c r="AL73" i="4" s="1"/>
  <c r="AK74" i="4"/>
  <c r="AL74" i="4" s="1"/>
  <c r="AK75" i="4"/>
  <c r="AL75" i="4" s="1"/>
  <c r="AK76" i="4"/>
  <c r="AL76" i="4" s="1"/>
  <c r="AK77" i="4"/>
  <c r="AL77" i="4" s="1"/>
  <c r="AK78" i="4"/>
  <c r="AL78" i="4" s="1"/>
  <c r="AK79" i="4"/>
  <c r="AL79" i="4" s="1"/>
  <c r="AK80" i="4"/>
  <c r="AL80" i="4" s="1"/>
  <c r="AK81" i="4"/>
  <c r="AL81" i="4" s="1"/>
  <c r="AK82" i="4"/>
  <c r="AL82" i="4" s="1"/>
  <c r="AK83" i="4"/>
  <c r="AL83" i="4" s="1"/>
  <c r="AK84" i="4"/>
  <c r="AL84" i="4" s="1"/>
  <c r="AK85" i="4"/>
  <c r="AL85" i="4" s="1"/>
  <c r="AK86" i="4"/>
  <c r="AL86" i="4" s="1"/>
  <c r="AK87" i="4"/>
  <c r="AL87" i="4" s="1"/>
  <c r="AK88" i="4"/>
  <c r="AL88" i="4" s="1"/>
  <c r="AK89" i="4"/>
  <c r="AL89" i="4" s="1"/>
  <c r="AK90" i="4"/>
  <c r="AL90" i="4" s="1"/>
  <c r="AK91" i="4"/>
  <c r="AL91" i="4" s="1"/>
  <c r="AK92" i="4"/>
  <c r="AL92" i="4" s="1"/>
  <c r="AK93" i="4"/>
  <c r="AL93" i="4" s="1"/>
  <c r="AK94" i="4"/>
  <c r="AL94" i="4" s="1"/>
  <c r="AK95" i="4"/>
  <c r="AL95" i="4" s="1"/>
  <c r="AK96" i="4"/>
  <c r="AL96" i="4" s="1"/>
  <c r="AK97" i="4"/>
  <c r="AL97" i="4" s="1"/>
  <c r="AK98" i="4"/>
  <c r="AL98" i="4" s="1"/>
  <c r="AK99" i="4"/>
  <c r="AL99" i="4" s="1"/>
  <c r="AK100" i="4"/>
  <c r="AL100" i="4" s="1"/>
  <c r="AK42" i="4"/>
  <c r="AL42" i="4" s="1"/>
  <c r="I39" i="2"/>
  <c r="I17" i="2"/>
  <c r="Y6" i="4"/>
  <c r="R24" i="4" s="1"/>
  <c r="I3" i="2"/>
  <c r="I10" i="2" s="1"/>
  <c r="L31" i="4"/>
  <c r="M31" i="4"/>
  <c r="L29" i="4"/>
  <c r="M29" i="4"/>
  <c r="M27" i="4"/>
  <c r="L27" i="4"/>
  <c r="AF43" i="4"/>
  <c r="AG43" i="4" s="1"/>
  <c r="AF44" i="4"/>
  <c r="AG44" i="4" s="1"/>
  <c r="AF45" i="4"/>
  <c r="AG45" i="4" s="1"/>
  <c r="AF46" i="4"/>
  <c r="AG46" i="4" s="1"/>
  <c r="AF47" i="4"/>
  <c r="AG47" i="4" s="1"/>
  <c r="AF48" i="4"/>
  <c r="AG48" i="4" s="1"/>
  <c r="AF49" i="4"/>
  <c r="AG49" i="4" s="1"/>
  <c r="AF50" i="4"/>
  <c r="AG50" i="4" s="1"/>
  <c r="AF51" i="4"/>
  <c r="AG51" i="4" s="1"/>
  <c r="AF52" i="4"/>
  <c r="AG52" i="4" s="1"/>
  <c r="AF53" i="4"/>
  <c r="AG53" i="4" s="1"/>
  <c r="AF54" i="4"/>
  <c r="AG54" i="4" s="1"/>
  <c r="AF55" i="4"/>
  <c r="AG55" i="4" s="1"/>
  <c r="AF56" i="4"/>
  <c r="AG56" i="4" s="1"/>
  <c r="AF57" i="4"/>
  <c r="AG57" i="4" s="1"/>
  <c r="AF58" i="4"/>
  <c r="AG58" i="4" s="1"/>
  <c r="AF59" i="4"/>
  <c r="AG59" i="4" s="1"/>
  <c r="AF60" i="4"/>
  <c r="AG60" i="4" s="1"/>
  <c r="AF61" i="4"/>
  <c r="AG61" i="4" s="1"/>
  <c r="AF62" i="4"/>
  <c r="AG62" i="4" s="1"/>
  <c r="AF63" i="4"/>
  <c r="AG63" i="4" s="1"/>
  <c r="AF64" i="4"/>
  <c r="AG64" i="4" s="1"/>
  <c r="AF65" i="4"/>
  <c r="AG65" i="4" s="1"/>
  <c r="AF66" i="4"/>
  <c r="AG66" i="4" s="1"/>
  <c r="AF67" i="4"/>
  <c r="AG67" i="4" s="1"/>
  <c r="AF68" i="4"/>
  <c r="AG68" i="4" s="1"/>
  <c r="AF69" i="4"/>
  <c r="AG69" i="4" s="1"/>
  <c r="AF70" i="4"/>
  <c r="AG70" i="4" s="1"/>
  <c r="AF71" i="4"/>
  <c r="AG71" i="4" s="1"/>
  <c r="AF72" i="4"/>
  <c r="AG72" i="4" s="1"/>
  <c r="AF73" i="4"/>
  <c r="AG73" i="4" s="1"/>
  <c r="AF74" i="4"/>
  <c r="AG74" i="4" s="1"/>
  <c r="AF75" i="4"/>
  <c r="AG75" i="4" s="1"/>
  <c r="AF76" i="4"/>
  <c r="AG76" i="4" s="1"/>
  <c r="AF77" i="4"/>
  <c r="AG77" i="4" s="1"/>
  <c r="AF78" i="4"/>
  <c r="AG78" i="4" s="1"/>
  <c r="AF79" i="4"/>
  <c r="AG79" i="4" s="1"/>
  <c r="AF80" i="4"/>
  <c r="AG80" i="4" s="1"/>
  <c r="AF81" i="4"/>
  <c r="AG81" i="4" s="1"/>
  <c r="AF82" i="4"/>
  <c r="AG82" i="4" s="1"/>
  <c r="AF83" i="4"/>
  <c r="AG83" i="4" s="1"/>
  <c r="AF84" i="4"/>
  <c r="AG84" i="4" s="1"/>
  <c r="AF85" i="4"/>
  <c r="AG85" i="4" s="1"/>
  <c r="AF86" i="4"/>
  <c r="AG86" i="4" s="1"/>
  <c r="AF87" i="4"/>
  <c r="AG87" i="4" s="1"/>
  <c r="AF88" i="4"/>
  <c r="AG88" i="4" s="1"/>
  <c r="AF89" i="4"/>
  <c r="AG89" i="4" s="1"/>
  <c r="AF90" i="4"/>
  <c r="AG90" i="4" s="1"/>
  <c r="AF91" i="4"/>
  <c r="AG91" i="4" s="1"/>
  <c r="AF92" i="4"/>
  <c r="AG92" i="4" s="1"/>
  <c r="AF93" i="4"/>
  <c r="AG93" i="4" s="1"/>
  <c r="AF94" i="4"/>
  <c r="AG94" i="4" s="1"/>
  <c r="AF95" i="4"/>
  <c r="AG95" i="4" s="1"/>
  <c r="AF96" i="4"/>
  <c r="AG96" i="4" s="1"/>
  <c r="AF97" i="4"/>
  <c r="AG97" i="4" s="1"/>
  <c r="AF98" i="4"/>
  <c r="AG98" i="4" s="1"/>
  <c r="AF99" i="4"/>
  <c r="AG99" i="4" s="1"/>
  <c r="AF100" i="4"/>
  <c r="AG100" i="4" s="1"/>
  <c r="AF42" i="4"/>
  <c r="AG42" i="4" s="1"/>
  <c r="D17" i="6"/>
  <c r="F14" i="4"/>
  <c r="J43" i="2" l="1"/>
  <c r="L49" i="2" s="1"/>
  <c r="L61" i="2" s="1"/>
  <c r="J21" i="2"/>
  <c r="J32" i="2" s="1"/>
  <c r="Y28" i="4"/>
  <c r="R35" i="4" s="1"/>
  <c r="R14" i="4"/>
  <c r="Z28" i="4"/>
  <c r="R36" i="4" s="1"/>
  <c r="Z17" i="4"/>
  <c r="R25" i="4" s="1"/>
  <c r="M7" i="4"/>
  <c r="M8" i="4"/>
  <c r="I43" i="2"/>
  <c r="K49" i="2" s="1"/>
  <c r="K61" i="2" s="1"/>
  <c r="L7" i="4"/>
  <c r="L8" i="4"/>
  <c r="R13" i="4"/>
  <c r="Y17" i="4"/>
  <c r="I21" i="2"/>
  <c r="I32" i="2" s="1"/>
  <c r="C14" i="7"/>
  <c r="C16" i="7" s="1"/>
  <c r="C6" i="5" s="1"/>
  <c r="J5" i="2" l="1"/>
  <c r="Z25" i="4"/>
  <c r="J29" i="2" s="1"/>
  <c r="M9" i="4"/>
  <c r="Y24" i="4"/>
  <c r="I28" i="2" s="1"/>
  <c r="I5" i="2"/>
  <c r="L9" i="4"/>
  <c r="D17" i="7"/>
  <c r="D11" i="7"/>
  <c r="D14" i="7"/>
  <c r="D16" i="7"/>
  <c r="D15" i="7"/>
  <c r="D10" i="7"/>
  <c r="C15" i="7" l="1"/>
  <c r="G31" i="4"/>
  <c r="C17" i="7" l="1"/>
  <c r="AO41" i="4"/>
  <c r="F16" i="4"/>
  <c r="C44" i="2"/>
  <c r="J27" i="4" l="1"/>
  <c r="F24" i="6" l="1"/>
  <c r="F32" i="6"/>
  <c r="F25" i="6"/>
  <c r="F33" i="6"/>
  <c r="F26" i="6"/>
  <c r="F28" i="6"/>
  <c r="F29" i="6"/>
  <c r="F30" i="6"/>
  <c r="F31" i="6"/>
  <c r="F27" i="6"/>
  <c r="AR100" i="4"/>
  <c r="AS100" i="4" s="1"/>
  <c r="AR99" i="4"/>
  <c r="AS99" i="4" s="1"/>
  <c r="AR98" i="4"/>
  <c r="AS98" i="4" s="1"/>
  <c r="AR97" i="4"/>
  <c r="AS97" i="4" s="1"/>
  <c r="AR96" i="4"/>
  <c r="AS96" i="4" s="1"/>
  <c r="AR95" i="4"/>
  <c r="AS95" i="4" s="1"/>
  <c r="AR94" i="4"/>
  <c r="AS94" i="4" s="1"/>
  <c r="AR93" i="4"/>
  <c r="AS93" i="4" s="1"/>
  <c r="AR92" i="4"/>
  <c r="AS92" i="4" s="1"/>
  <c r="AR91" i="4"/>
  <c r="AS91" i="4" s="1"/>
  <c r="AR90" i="4"/>
  <c r="AS90" i="4" s="1"/>
  <c r="AR89" i="4"/>
  <c r="AS89" i="4" s="1"/>
  <c r="AR88" i="4"/>
  <c r="AS88" i="4" s="1"/>
  <c r="AR87" i="4"/>
  <c r="AS87" i="4" s="1"/>
  <c r="AR86" i="4"/>
  <c r="AS86" i="4" s="1"/>
  <c r="AR85" i="4"/>
  <c r="AS85" i="4" s="1"/>
  <c r="AR84" i="4"/>
  <c r="AS84" i="4" s="1"/>
  <c r="AR83" i="4"/>
  <c r="AS83" i="4" s="1"/>
  <c r="AR82" i="4"/>
  <c r="AS82" i="4" s="1"/>
  <c r="AR81" i="4"/>
  <c r="AS81" i="4" s="1"/>
  <c r="AR80" i="4"/>
  <c r="AS80" i="4" s="1"/>
  <c r="AR79" i="4"/>
  <c r="AS79" i="4" s="1"/>
  <c r="AR78" i="4"/>
  <c r="AS78" i="4" s="1"/>
  <c r="AR77" i="4"/>
  <c r="AS77" i="4" s="1"/>
  <c r="AR76" i="4"/>
  <c r="AS76" i="4" s="1"/>
  <c r="AR75" i="4"/>
  <c r="AS75" i="4" s="1"/>
  <c r="AR74" i="4"/>
  <c r="AS74" i="4" s="1"/>
  <c r="AR73" i="4"/>
  <c r="AS73" i="4" s="1"/>
  <c r="AR72" i="4"/>
  <c r="AS72" i="4" s="1"/>
  <c r="AR71" i="4"/>
  <c r="AS71" i="4" s="1"/>
  <c r="AR70" i="4"/>
  <c r="AS70" i="4" s="1"/>
  <c r="AR69" i="4"/>
  <c r="AS69" i="4" s="1"/>
  <c r="AR68" i="4"/>
  <c r="AS68" i="4" s="1"/>
  <c r="AR67" i="4"/>
  <c r="AS67" i="4" s="1"/>
  <c r="AR66" i="4"/>
  <c r="AS66" i="4" s="1"/>
  <c r="AR65" i="4"/>
  <c r="AS65" i="4" s="1"/>
  <c r="AR64" i="4"/>
  <c r="AS64" i="4" s="1"/>
  <c r="AR63" i="4"/>
  <c r="AS63" i="4" s="1"/>
  <c r="AR62" i="4"/>
  <c r="AS62" i="4" s="1"/>
  <c r="AR61" i="4"/>
  <c r="AS61" i="4" s="1"/>
  <c r="AR60" i="4"/>
  <c r="AS60" i="4" s="1"/>
  <c r="AR59" i="4"/>
  <c r="AS59" i="4" s="1"/>
  <c r="AR58" i="4"/>
  <c r="AS58" i="4" s="1"/>
  <c r="AR57" i="4"/>
  <c r="AS57" i="4" s="1"/>
  <c r="AR56" i="4"/>
  <c r="AS56" i="4" s="1"/>
  <c r="AR55" i="4"/>
  <c r="AS55" i="4" s="1"/>
  <c r="AR54" i="4"/>
  <c r="AS54" i="4" s="1"/>
  <c r="AR53" i="4"/>
  <c r="AS53" i="4" s="1"/>
  <c r="AR52" i="4"/>
  <c r="AS52" i="4" s="1"/>
  <c r="AR51" i="4"/>
  <c r="AS51" i="4" s="1"/>
  <c r="AR50" i="4"/>
  <c r="AS50" i="4" s="1"/>
  <c r="AR49" i="4"/>
  <c r="AS49" i="4" s="1"/>
  <c r="AR48" i="4"/>
  <c r="AS48" i="4" s="1"/>
  <c r="AR47" i="4"/>
  <c r="AS47" i="4" s="1"/>
  <c r="AR46" i="4"/>
  <c r="AS46" i="4" s="1"/>
  <c r="AR45" i="4"/>
  <c r="AS45" i="4" s="1"/>
  <c r="AR44" i="4"/>
  <c r="AS44" i="4" s="1"/>
  <c r="AR43" i="4"/>
  <c r="AS43" i="4" s="1"/>
  <c r="AR42" i="4"/>
  <c r="AS42" i="4" s="1"/>
  <c r="N7" i="4" l="1"/>
  <c r="N8" i="4"/>
  <c r="N9" i="4" l="1"/>
  <c r="D6" i="5"/>
  <c r="T6" i="4"/>
  <c r="T17" i="4" s="1"/>
  <c r="U6" i="4"/>
  <c r="U28" i="4" s="1"/>
  <c r="V6" i="4"/>
  <c r="V28" i="4" s="1"/>
  <c r="W6" i="4"/>
  <c r="W17" i="4" s="1"/>
  <c r="X6" i="4"/>
  <c r="S6" i="4"/>
  <c r="S28" i="4" s="1"/>
  <c r="X17" i="4" l="1"/>
  <c r="R23" i="4" s="1"/>
  <c r="R12" i="4"/>
  <c r="X28" i="4"/>
  <c r="R34" i="4" s="1"/>
  <c r="T28" i="4"/>
  <c r="R30" i="4" s="1"/>
  <c r="W28" i="4"/>
  <c r="R33" i="4" s="1"/>
  <c r="V17" i="4"/>
  <c r="R21" i="4" s="1"/>
  <c r="U17" i="4"/>
  <c r="R20" i="4" s="1"/>
  <c r="S17" i="4"/>
  <c r="H38" i="2"/>
  <c r="G37" i="2"/>
  <c r="F36" i="2"/>
  <c r="E35" i="2"/>
  <c r="D34" i="2"/>
  <c r="H16" i="2"/>
  <c r="G15" i="2"/>
  <c r="F14" i="2"/>
  <c r="E13" i="2"/>
  <c r="D12" i="2"/>
  <c r="C11" i="2"/>
  <c r="C6" i="2"/>
  <c r="C4" i="2"/>
  <c r="C45" i="2" s="1"/>
  <c r="D3" i="2"/>
  <c r="E3" i="2"/>
  <c r="F3" i="2"/>
  <c r="G3" i="2"/>
  <c r="H3" i="2"/>
  <c r="C3" i="2"/>
  <c r="AA100" i="4"/>
  <c r="AB100" i="4" s="1"/>
  <c r="V100" i="4"/>
  <c r="W100" i="4" s="1"/>
  <c r="Q100" i="4"/>
  <c r="R100" i="4" s="1"/>
  <c r="L100" i="4"/>
  <c r="M100" i="4" s="1"/>
  <c r="G100" i="4"/>
  <c r="H100" i="4" s="1"/>
  <c r="D100" i="4"/>
  <c r="E100" i="4" s="1"/>
  <c r="AA99" i="4"/>
  <c r="AB99" i="4" s="1"/>
  <c r="V99" i="4"/>
  <c r="W99" i="4" s="1"/>
  <c r="Q99" i="4"/>
  <c r="R99" i="4" s="1"/>
  <c r="L99" i="4"/>
  <c r="M99" i="4" s="1"/>
  <c r="G99" i="4"/>
  <c r="H99" i="4" s="1"/>
  <c r="D99" i="4"/>
  <c r="E99" i="4" s="1"/>
  <c r="AA98" i="4"/>
  <c r="AB98" i="4" s="1"/>
  <c r="V98" i="4"/>
  <c r="W98" i="4" s="1"/>
  <c r="Q98" i="4"/>
  <c r="R98" i="4" s="1"/>
  <c r="L98" i="4"/>
  <c r="M98" i="4" s="1"/>
  <c r="G98" i="4"/>
  <c r="H98" i="4" s="1"/>
  <c r="D98" i="4"/>
  <c r="E98" i="4" s="1"/>
  <c r="AA97" i="4"/>
  <c r="AB97" i="4" s="1"/>
  <c r="V97" i="4"/>
  <c r="W97" i="4" s="1"/>
  <c r="Q97" i="4"/>
  <c r="R97" i="4" s="1"/>
  <c r="L97" i="4"/>
  <c r="M97" i="4" s="1"/>
  <c r="G97" i="4"/>
  <c r="H97" i="4" s="1"/>
  <c r="D97" i="4"/>
  <c r="E97" i="4" s="1"/>
  <c r="AA96" i="4"/>
  <c r="AB96" i="4" s="1"/>
  <c r="V96" i="4"/>
  <c r="W96" i="4" s="1"/>
  <c r="Q96" i="4"/>
  <c r="R96" i="4" s="1"/>
  <c r="L96" i="4"/>
  <c r="M96" i="4" s="1"/>
  <c r="G96" i="4"/>
  <c r="H96" i="4" s="1"/>
  <c r="D96" i="4"/>
  <c r="E96" i="4" s="1"/>
  <c r="AA95" i="4"/>
  <c r="AB95" i="4" s="1"/>
  <c r="V95" i="4"/>
  <c r="W95" i="4" s="1"/>
  <c r="Q95" i="4"/>
  <c r="R95" i="4" s="1"/>
  <c r="L95" i="4"/>
  <c r="M95" i="4" s="1"/>
  <c r="G95" i="4"/>
  <c r="H95" i="4" s="1"/>
  <c r="D95" i="4"/>
  <c r="E95" i="4" s="1"/>
  <c r="AA94" i="4"/>
  <c r="AB94" i="4" s="1"/>
  <c r="V94" i="4"/>
  <c r="W94" i="4" s="1"/>
  <c r="Q94" i="4"/>
  <c r="R94" i="4" s="1"/>
  <c r="L94" i="4"/>
  <c r="M94" i="4" s="1"/>
  <c r="G94" i="4"/>
  <c r="H94" i="4" s="1"/>
  <c r="D94" i="4"/>
  <c r="E94" i="4" s="1"/>
  <c r="AA93" i="4"/>
  <c r="AB93" i="4" s="1"/>
  <c r="V93" i="4"/>
  <c r="W93" i="4" s="1"/>
  <c r="Q93" i="4"/>
  <c r="R93" i="4" s="1"/>
  <c r="L93" i="4"/>
  <c r="M93" i="4" s="1"/>
  <c r="G93" i="4"/>
  <c r="H93" i="4" s="1"/>
  <c r="D93" i="4"/>
  <c r="E93" i="4" s="1"/>
  <c r="AA92" i="4"/>
  <c r="AB92" i="4" s="1"/>
  <c r="V92" i="4"/>
  <c r="W92" i="4" s="1"/>
  <c r="Q92" i="4"/>
  <c r="R92" i="4" s="1"/>
  <c r="L92" i="4"/>
  <c r="M92" i="4" s="1"/>
  <c r="G92" i="4"/>
  <c r="H92" i="4" s="1"/>
  <c r="D92" i="4"/>
  <c r="E92" i="4" s="1"/>
  <c r="AA91" i="4"/>
  <c r="AB91" i="4" s="1"/>
  <c r="V91" i="4"/>
  <c r="W91" i="4" s="1"/>
  <c r="Q91" i="4"/>
  <c r="R91" i="4" s="1"/>
  <c r="L91" i="4"/>
  <c r="M91" i="4" s="1"/>
  <c r="G91" i="4"/>
  <c r="H91" i="4" s="1"/>
  <c r="D91" i="4"/>
  <c r="E91" i="4" s="1"/>
  <c r="AA90" i="4"/>
  <c r="AB90" i="4" s="1"/>
  <c r="V90" i="4"/>
  <c r="W90" i="4" s="1"/>
  <c r="Q90" i="4"/>
  <c r="R90" i="4" s="1"/>
  <c r="L90" i="4"/>
  <c r="M90" i="4" s="1"/>
  <c r="G90" i="4"/>
  <c r="H90" i="4" s="1"/>
  <c r="D90" i="4"/>
  <c r="E90" i="4" s="1"/>
  <c r="AA89" i="4"/>
  <c r="AB89" i="4" s="1"/>
  <c r="V89" i="4"/>
  <c r="W89" i="4" s="1"/>
  <c r="Q89" i="4"/>
  <c r="R89" i="4" s="1"/>
  <c r="L89" i="4"/>
  <c r="M89" i="4" s="1"/>
  <c r="G89" i="4"/>
  <c r="H89" i="4" s="1"/>
  <c r="D89" i="4"/>
  <c r="E89" i="4" s="1"/>
  <c r="AA88" i="4"/>
  <c r="AB88" i="4" s="1"/>
  <c r="V88" i="4"/>
  <c r="W88" i="4" s="1"/>
  <c r="Q88" i="4"/>
  <c r="R88" i="4" s="1"/>
  <c r="L88" i="4"/>
  <c r="M88" i="4" s="1"/>
  <c r="G88" i="4"/>
  <c r="H88" i="4" s="1"/>
  <c r="D88" i="4"/>
  <c r="E88" i="4" s="1"/>
  <c r="AA87" i="4"/>
  <c r="AB87" i="4" s="1"/>
  <c r="V87" i="4"/>
  <c r="W87" i="4" s="1"/>
  <c r="Q87" i="4"/>
  <c r="R87" i="4" s="1"/>
  <c r="L87" i="4"/>
  <c r="M87" i="4" s="1"/>
  <c r="G87" i="4"/>
  <c r="H87" i="4" s="1"/>
  <c r="D87" i="4"/>
  <c r="E87" i="4" s="1"/>
  <c r="AA86" i="4"/>
  <c r="AB86" i="4" s="1"/>
  <c r="V86" i="4"/>
  <c r="W86" i="4" s="1"/>
  <c r="Q86" i="4"/>
  <c r="R86" i="4" s="1"/>
  <c r="L86" i="4"/>
  <c r="M86" i="4" s="1"/>
  <c r="G86" i="4"/>
  <c r="H86" i="4" s="1"/>
  <c r="D86" i="4"/>
  <c r="E86" i="4" s="1"/>
  <c r="AA85" i="4"/>
  <c r="AB85" i="4" s="1"/>
  <c r="V85" i="4"/>
  <c r="W85" i="4" s="1"/>
  <c r="Q85" i="4"/>
  <c r="R85" i="4" s="1"/>
  <c r="L85" i="4"/>
  <c r="M85" i="4" s="1"/>
  <c r="G85" i="4"/>
  <c r="H85" i="4" s="1"/>
  <c r="D85" i="4"/>
  <c r="E85" i="4" s="1"/>
  <c r="AA84" i="4"/>
  <c r="AB84" i="4" s="1"/>
  <c r="V84" i="4"/>
  <c r="W84" i="4" s="1"/>
  <c r="Q84" i="4"/>
  <c r="R84" i="4" s="1"/>
  <c r="L84" i="4"/>
  <c r="M84" i="4" s="1"/>
  <c r="G84" i="4"/>
  <c r="H84" i="4" s="1"/>
  <c r="D84" i="4"/>
  <c r="E84" i="4" s="1"/>
  <c r="AA83" i="4"/>
  <c r="AB83" i="4" s="1"/>
  <c r="V83" i="4"/>
  <c r="W83" i="4" s="1"/>
  <c r="Q83" i="4"/>
  <c r="R83" i="4" s="1"/>
  <c r="L83" i="4"/>
  <c r="M83" i="4" s="1"/>
  <c r="G83" i="4"/>
  <c r="H83" i="4" s="1"/>
  <c r="D83" i="4"/>
  <c r="E83" i="4" s="1"/>
  <c r="AA82" i="4"/>
  <c r="AB82" i="4" s="1"/>
  <c r="V82" i="4"/>
  <c r="W82" i="4" s="1"/>
  <c r="Q82" i="4"/>
  <c r="R82" i="4" s="1"/>
  <c r="L82" i="4"/>
  <c r="M82" i="4" s="1"/>
  <c r="G82" i="4"/>
  <c r="H82" i="4" s="1"/>
  <c r="D82" i="4"/>
  <c r="E82" i="4" s="1"/>
  <c r="AA81" i="4"/>
  <c r="AB81" i="4" s="1"/>
  <c r="V81" i="4"/>
  <c r="W81" i="4" s="1"/>
  <c r="Q81" i="4"/>
  <c r="R81" i="4" s="1"/>
  <c r="L81" i="4"/>
  <c r="M81" i="4" s="1"/>
  <c r="G81" i="4"/>
  <c r="H81" i="4" s="1"/>
  <c r="D81" i="4"/>
  <c r="E81" i="4" s="1"/>
  <c r="AA80" i="4"/>
  <c r="AB80" i="4" s="1"/>
  <c r="V80" i="4"/>
  <c r="W80" i="4" s="1"/>
  <c r="Q80" i="4"/>
  <c r="R80" i="4" s="1"/>
  <c r="L80" i="4"/>
  <c r="M80" i="4" s="1"/>
  <c r="G80" i="4"/>
  <c r="H80" i="4" s="1"/>
  <c r="D80" i="4"/>
  <c r="E80" i="4" s="1"/>
  <c r="AA79" i="4"/>
  <c r="AB79" i="4" s="1"/>
  <c r="V79" i="4"/>
  <c r="W79" i="4" s="1"/>
  <c r="Q79" i="4"/>
  <c r="R79" i="4" s="1"/>
  <c r="L79" i="4"/>
  <c r="M79" i="4" s="1"/>
  <c r="G79" i="4"/>
  <c r="H79" i="4" s="1"/>
  <c r="D79" i="4"/>
  <c r="E79" i="4" s="1"/>
  <c r="AA78" i="4"/>
  <c r="AB78" i="4" s="1"/>
  <c r="V78" i="4"/>
  <c r="W78" i="4" s="1"/>
  <c r="Q78" i="4"/>
  <c r="R78" i="4" s="1"/>
  <c r="L78" i="4"/>
  <c r="M78" i="4" s="1"/>
  <c r="G78" i="4"/>
  <c r="H78" i="4" s="1"/>
  <c r="D78" i="4"/>
  <c r="E78" i="4" s="1"/>
  <c r="AA77" i="4"/>
  <c r="AB77" i="4" s="1"/>
  <c r="V77" i="4"/>
  <c r="W77" i="4" s="1"/>
  <c r="Q77" i="4"/>
  <c r="R77" i="4" s="1"/>
  <c r="L77" i="4"/>
  <c r="M77" i="4" s="1"/>
  <c r="G77" i="4"/>
  <c r="H77" i="4" s="1"/>
  <c r="D77" i="4"/>
  <c r="E77" i="4" s="1"/>
  <c r="AA76" i="4"/>
  <c r="AB76" i="4" s="1"/>
  <c r="V76" i="4"/>
  <c r="W76" i="4" s="1"/>
  <c r="Q76" i="4"/>
  <c r="R76" i="4" s="1"/>
  <c r="L76" i="4"/>
  <c r="M76" i="4" s="1"/>
  <c r="G76" i="4"/>
  <c r="H76" i="4" s="1"/>
  <c r="D76" i="4"/>
  <c r="E76" i="4" s="1"/>
  <c r="AA75" i="4"/>
  <c r="AB75" i="4" s="1"/>
  <c r="V75" i="4"/>
  <c r="W75" i="4" s="1"/>
  <c r="Q75" i="4"/>
  <c r="R75" i="4" s="1"/>
  <c r="L75" i="4"/>
  <c r="M75" i="4" s="1"/>
  <c r="G75" i="4"/>
  <c r="H75" i="4" s="1"/>
  <c r="D75" i="4"/>
  <c r="E75" i="4" s="1"/>
  <c r="AA74" i="4"/>
  <c r="AB74" i="4" s="1"/>
  <c r="V74" i="4"/>
  <c r="W74" i="4" s="1"/>
  <c r="Q74" i="4"/>
  <c r="R74" i="4" s="1"/>
  <c r="L74" i="4"/>
  <c r="M74" i="4" s="1"/>
  <c r="G74" i="4"/>
  <c r="H74" i="4" s="1"/>
  <c r="D74" i="4"/>
  <c r="E74" i="4" s="1"/>
  <c r="AA73" i="4"/>
  <c r="AB73" i="4" s="1"/>
  <c r="V73" i="4"/>
  <c r="W73" i="4" s="1"/>
  <c r="Q73" i="4"/>
  <c r="R73" i="4" s="1"/>
  <c r="L73" i="4"/>
  <c r="M73" i="4" s="1"/>
  <c r="G73" i="4"/>
  <c r="H73" i="4" s="1"/>
  <c r="D73" i="4"/>
  <c r="E73" i="4" s="1"/>
  <c r="AA72" i="4"/>
  <c r="AB72" i="4" s="1"/>
  <c r="V72" i="4"/>
  <c r="W72" i="4" s="1"/>
  <c r="Q72" i="4"/>
  <c r="R72" i="4" s="1"/>
  <c r="L72" i="4"/>
  <c r="M72" i="4" s="1"/>
  <c r="G72" i="4"/>
  <c r="H72" i="4" s="1"/>
  <c r="D72" i="4"/>
  <c r="E72" i="4" s="1"/>
  <c r="AA71" i="4"/>
  <c r="AB71" i="4" s="1"/>
  <c r="V71" i="4"/>
  <c r="W71" i="4" s="1"/>
  <c r="Q71" i="4"/>
  <c r="R71" i="4" s="1"/>
  <c r="L71" i="4"/>
  <c r="M71" i="4" s="1"/>
  <c r="G71" i="4"/>
  <c r="H71" i="4" s="1"/>
  <c r="D71" i="4"/>
  <c r="E71" i="4" s="1"/>
  <c r="AA70" i="4"/>
  <c r="AB70" i="4" s="1"/>
  <c r="V70" i="4"/>
  <c r="W70" i="4" s="1"/>
  <c r="Q70" i="4"/>
  <c r="R70" i="4" s="1"/>
  <c r="L70" i="4"/>
  <c r="M70" i="4" s="1"/>
  <c r="G70" i="4"/>
  <c r="H70" i="4" s="1"/>
  <c r="D70" i="4"/>
  <c r="E70" i="4" s="1"/>
  <c r="AA69" i="4"/>
  <c r="AB69" i="4" s="1"/>
  <c r="V69" i="4"/>
  <c r="W69" i="4" s="1"/>
  <c r="Q69" i="4"/>
  <c r="R69" i="4" s="1"/>
  <c r="L69" i="4"/>
  <c r="M69" i="4" s="1"/>
  <c r="G69" i="4"/>
  <c r="H69" i="4" s="1"/>
  <c r="D69" i="4"/>
  <c r="E69" i="4" s="1"/>
  <c r="AA68" i="4"/>
  <c r="AB68" i="4" s="1"/>
  <c r="V68" i="4"/>
  <c r="W68" i="4" s="1"/>
  <c r="Q68" i="4"/>
  <c r="R68" i="4" s="1"/>
  <c r="L68" i="4"/>
  <c r="M68" i="4" s="1"/>
  <c r="G68" i="4"/>
  <c r="H68" i="4" s="1"/>
  <c r="D68" i="4"/>
  <c r="E68" i="4" s="1"/>
  <c r="AA67" i="4"/>
  <c r="AB67" i="4" s="1"/>
  <c r="V67" i="4"/>
  <c r="W67" i="4" s="1"/>
  <c r="Q67" i="4"/>
  <c r="R67" i="4" s="1"/>
  <c r="L67" i="4"/>
  <c r="M67" i="4" s="1"/>
  <c r="G67" i="4"/>
  <c r="H67" i="4" s="1"/>
  <c r="D67" i="4"/>
  <c r="E67" i="4" s="1"/>
  <c r="AA66" i="4"/>
  <c r="AB66" i="4" s="1"/>
  <c r="V66" i="4"/>
  <c r="W66" i="4" s="1"/>
  <c r="Q66" i="4"/>
  <c r="R66" i="4" s="1"/>
  <c r="L66" i="4"/>
  <c r="M66" i="4" s="1"/>
  <c r="G66" i="4"/>
  <c r="H66" i="4" s="1"/>
  <c r="D66" i="4"/>
  <c r="E66" i="4" s="1"/>
  <c r="AA65" i="4"/>
  <c r="AB65" i="4" s="1"/>
  <c r="V65" i="4"/>
  <c r="W65" i="4" s="1"/>
  <c r="Q65" i="4"/>
  <c r="R65" i="4" s="1"/>
  <c r="L65" i="4"/>
  <c r="M65" i="4" s="1"/>
  <c r="G65" i="4"/>
  <c r="H65" i="4" s="1"/>
  <c r="D65" i="4"/>
  <c r="E65" i="4" s="1"/>
  <c r="AA64" i="4"/>
  <c r="AB64" i="4" s="1"/>
  <c r="V64" i="4"/>
  <c r="W64" i="4" s="1"/>
  <c r="Q64" i="4"/>
  <c r="R64" i="4" s="1"/>
  <c r="L64" i="4"/>
  <c r="M64" i="4" s="1"/>
  <c r="G64" i="4"/>
  <c r="H64" i="4" s="1"/>
  <c r="D64" i="4"/>
  <c r="E64" i="4" s="1"/>
  <c r="AA63" i="4"/>
  <c r="AB63" i="4" s="1"/>
  <c r="V63" i="4"/>
  <c r="W63" i="4" s="1"/>
  <c r="Q63" i="4"/>
  <c r="R63" i="4" s="1"/>
  <c r="L63" i="4"/>
  <c r="M63" i="4" s="1"/>
  <c r="G63" i="4"/>
  <c r="H63" i="4" s="1"/>
  <c r="D63" i="4"/>
  <c r="E63" i="4" s="1"/>
  <c r="AA62" i="4"/>
  <c r="AB62" i="4" s="1"/>
  <c r="V62" i="4"/>
  <c r="W62" i="4" s="1"/>
  <c r="Q62" i="4"/>
  <c r="R62" i="4" s="1"/>
  <c r="L62" i="4"/>
  <c r="M62" i="4" s="1"/>
  <c r="G62" i="4"/>
  <c r="H62" i="4" s="1"/>
  <c r="D62" i="4"/>
  <c r="E62" i="4" s="1"/>
  <c r="AA61" i="4"/>
  <c r="AB61" i="4" s="1"/>
  <c r="V61" i="4"/>
  <c r="W61" i="4" s="1"/>
  <c r="Q61" i="4"/>
  <c r="R61" i="4" s="1"/>
  <c r="L61" i="4"/>
  <c r="M61" i="4" s="1"/>
  <c r="G61" i="4"/>
  <c r="H61" i="4" s="1"/>
  <c r="D61" i="4"/>
  <c r="E61" i="4" s="1"/>
  <c r="AA60" i="4"/>
  <c r="AB60" i="4" s="1"/>
  <c r="V60" i="4"/>
  <c r="W60" i="4" s="1"/>
  <c r="Q60" i="4"/>
  <c r="R60" i="4" s="1"/>
  <c r="L60" i="4"/>
  <c r="M60" i="4" s="1"/>
  <c r="G60" i="4"/>
  <c r="H60" i="4" s="1"/>
  <c r="D60" i="4"/>
  <c r="E60" i="4" s="1"/>
  <c r="AA59" i="4"/>
  <c r="AB59" i="4" s="1"/>
  <c r="V59" i="4"/>
  <c r="W59" i="4" s="1"/>
  <c r="Q59" i="4"/>
  <c r="R59" i="4" s="1"/>
  <c r="L59" i="4"/>
  <c r="M59" i="4" s="1"/>
  <c r="G59" i="4"/>
  <c r="H59" i="4" s="1"/>
  <c r="D59" i="4"/>
  <c r="E59" i="4" s="1"/>
  <c r="AA58" i="4"/>
  <c r="AB58" i="4" s="1"/>
  <c r="V58" i="4"/>
  <c r="W58" i="4" s="1"/>
  <c r="Q58" i="4"/>
  <c r="R58" i="4" s="1"/>
  <c r="L58" i="4"/>
  <c r="M58" i="4" s="1"/>
  <c r="G58" i="4"/>
  <c r="H58" i="4" s="1"/>
  <c r="D58" i="4"/>
  <c r="E58" i="4" s="1"/>
  <c r="AA57" i="4"/>
  <c r="AB57" i="4" s="1"/>
  <c r="V57" i="4"/>
  <c r="W57" i="4" s="1"/>
  <c r="Q57" i="4"/>
  <c r="R57" i="4" s="1"/>
  <c r="L57" i="4"/>
  <c r="M57" i="4" s="1"/>
  <c r="G57" i="4"/>
  <c r="H57" i="4" s="1"/>
  <c r="D57" i="4"/>
  <c r="E57" i="4" s="1"/>
  <c r="AA56" i="4"/>
  <c r="AB56" i="4" s="1"/>
  <c r="V56" i="4"/>
  <c r="W56" i="4" s="1"/>
  <c r="Q56" i="4"/>
  <c r="R56" i="4" s="1"/>
  <c r="L56" i="4"/>
  <c r="M56" i="4" s="1"/>
  <c r="G56" i="4"/>
  <c r="H56" i="4" s="1"/>
  <c r="D56" i="4"/>
  <c r="E56" i="4" s="1"/>
  <c r="AA55" i="4"/>
  <c r="AB55" i="4" s="1"/>
  <c r="V55" i="4"/>
  <c r="W55" i="4" s="1"/>
  <c r="Q55" i="4"/>
  <c r="R55" i="4" s="1"/>
  <c r="L55" i="4"/>
  <c r="M55" i="4" s="1"/>
  <c r="G55" i="4"/>
  <c r="H55" i="4" s="1"/>
  <c r="D55" i="4"/>
  <c r="E55" i="4" s="1"/>
  <c r="AA54" i="4"/>
  <c r="AB54" i="4" s="1"/>
  <c r="V54" i="4"/>
  <c r="W54" i="4" s="1"/>
  <c r="Q54" i="4"/>
  <c r="R54" i="4" s="1"/>
  <c r="L54" i="4"/>
  <c r="M54" i="4" s="1"/>
  <c r="G54" i="4"/>
  <c r="H54" i="4" s="1"/>
  <c r="D54" i="4"/>
  <c r="E54" i="4" s="1"/>
  <c r="AA53" i="4"/>
  <c r="AB53" i="4" s="1"/>
  <c r="V53" i="4"/>
  <c r="W53" i="4" s="1"/>
  <c r="Q53" i="4"/>
  <c r="R53" i="4" s="1"/>
  <c r="L53" i="4"/>
  <c r="M53" i="4" s="1"/>
  <c r="G53" i="4"/>
  <c r="H53" i="4" s="1"/>
  <c r="D53" i="4"/>
  <c r="E53" i="4" s="1"/>
  <c r="AA52" i="4"/>
  <c r="AB52" i="4" s="1"/>
  <c r="V52" i="4"/>
  <c r="W52" i="4" s="1"/>
  <c r="Q52" i="4"/>
  <c r="R52" i="4" s="1"/>
  <c r="L52" i="4"/>
  <c r="M52" i="4" s="1"/>
  <c r="G52" i="4"/>
  <c r="H52" i="4" s="1"/>
  <c r="D52" i="4"/>
  <c r="E52" i="4" s="1"/>
  <c r="AA51" i="4"/>
  <c r="AB51" i="4" s="1"/>
  <c r="V51" i="4"/>
  <c r="W51" i="4" s="1"/>
  <c r="Q51" i="4"/>
  <c r="R51" i="4" s="1"/>
  <c r="L51" i="4"/>
  <c r="M51" i="4" s="1"/>
  <c r="G51" i="4"/>
  <c r="H51" i="4" s="1"/>
  <c r="D51" i="4"/>
  <c r="E51" i="4" s="1"/>
  <c r="AA50" i="4"/>
  <c r="AB50" i="4" s="1"/>
  <c r="V50" i="4"/>
  <c r="W50" i="4" s="1"/>
  <c r="Q50" i="4"/>
  <c r="R50" i="4" s="1"/>
  <c r="L50" i="4"/>
  <c r="M50" i="4" s="1"/>
  <c r="G50" i="4"/>
  <c r="H50" i="4" s="1"/>
  <c r="D50" i="4"/>
  <c r="E50" i="4" s="1"/>
  <c r="AA49" i="4"/>
  <c r="AB49" i="4" s="1"/>
  <c r="V49" i="4"/>
  <c r="W49" i="4" s="1"/>
  <c r="Q49" i="4"/>
  <c r="R49" i="4" s="1"/>
  <c r="L49" i="4"/>
  <c r="M49" i="4" s="1"/>
  <c r="G49" i="4"/>
  <c r="H49" i="4" s="1"/>
  <c r="D49" i="4"/>
  <c r="E49" i="4" s="1"/>
  <c r="AA48" i="4"/>
  <c r="AB48" i="4" s="1"/>
  <c r="V48" i="4"/>
  <c r="W48" i="4" s="1"/>
  <c r="Q48" i="4"/>
  <c r="R48" i="4" s="1"/>
  <c r="L48" i="4"/>
  <c r="M48" i="4" s="1"/>
  <c r="G48" i="4"/>
  <c r="H48" i="4" s="1"/>
  <c r="D48" i="4"/>
  <c r="E48" i="4" s="1"/>
  <c r="AA47" i="4"/>
  <c r="AB47" i="4" s="1"/>
  <c r="V47" i="4"/>
  <c r="W47" i="4" s="1"/>
  <c r="Q47" i="4"/>
  <c r="R47" i="4" s="1"/>
  <c r="L47" i="4"/>
  <c r="M47" i="4" s="1"/>
  <c r="G47" i="4"/>
  <c r="H47" i="4" s="1"/>
  <c r="D47" i="4"/>
  <c r="E47" i="4" s="1"/>
  <c r="AA46" i="4"/>
  <c r="AB46" i="4" s="1"/>
  <c r="V46" i="4"/>
  <c r="W46" i="4" s="1"/>
  <c r="Q46" i="4"/>
  <c r="R46" i="4" s="1"/>
  <c r="L46" i="4"/>
  <c r="M46" i="4" s="1"/>
  <c r="G46" i="4"/>
  <c r="H46" i="4" s="1"/>
  <c r="D46" i="4"/>
  <c r="E46" i="4" s="1"/>
  <c r="AA45" i="4"/>
  <c r="AB45" i="4" s="1"/>
  <c r="V45" i="4"/>
  <c r="W45" i="4" s="1"/>
  <c r="Q45" i="4"/>
  <c r="R45" i="4" s="1"/>
  <c r="L45" i="4"/>
  <c r="M45" i="4" s="1"/>
  <c r="G45" i="4"/>
  <c r="H45" i="4" s="1"/>
  <c r="D45" i="4"/>
  <c r="E45" i="4" s="1"/>
  <c r="AA44" i="4"/>
  <c r="AB44" i="4" s="1"/>
  <c r="V44" i="4"/>
  <c r="W44" i="4" s="1"/>
  <c r="Q44" i="4"/>
  <c r="R44" i="4" s="1"/>
  <c r="L44" i="4"/>
  <c r="M44" i="4" s="1"/>
  <c r="G44" i="4"/>
  <c r="H44" i="4" s="1"/>
  <c r="D44" i="4"/>
  <c r="E44" i="4" s="1"/>
  <c r="AA43" i="4"/>
  <c r="AB43" i="4" s="1"/>
  <c r="V43" i="4"/>
  <c r="W43" i="4" s="1"/>
  <c r="Q43" i="4"/>
  <c r="R43" i="4" s="1"/>
  <c r="L43" i="4"/>
  <c r="M43" i="4" s="1"/>
  <c r="G43" i="4"/>
  <c r="H43" i="4" s="1"/>
  <c r="D43" i="4"/>
  <c r="E43" i="4" s="1"/>
  <c r="AA42" i="4"/>
  <c r="AB42" i="4" s="1"/>
  <c r="V42" i="4"/>
  <c r="W42" i="4" s="1"/>
  <c r="Q42" i="4"/>
  <c r="R42" i="4" s="1"/>
  <c r="L42" i="4"/>
  <c r="M42" i="4" s="1"/>
  <c r="G42" i="4"/>
  <c r="H42" i="4" s="1"/>
  <c r="D42" i="4"/>
  <c r="E42" i="4" s="1"/>
  <c r="K31" i="4"/>
  <c r="J31" i="4"/>
  <c r="I31" i="4"/>
  <c r="H31" i="4"/>
  <c r="K29" i="4"/>
  <c r="J29" i="4"/>
  <c r="I29" i="4"/>
  <c r="H29" i="4"/>
  <c r="G29" i="4"/>
  <c r="R32" i="4"/>
  <c r="R31" i="4"/>
  <c r="K27" i="4"/>
  <c r="I27" i="4"/>
  <c r="H27" i="4"/>
  <c r="G27" i="4"/>
  <c r="R22" i="4"/>
  <c r="R11" i="4"/>
  <c r="R10" i="4"/>
  <c r="R9" i="4"/>
  <c r="R19" i="4"/>
  <c r="R8" i="4"/>
  <c r="D63" i="2"/>
  <c r="G7" i="4" l="1"/>
  <c r="M18" i="4"/>
  <c r="M12" i="4"/>
  <c r="M13" i="4"/>
  <c r="M14" i="4" s="1"/>
  <c r="M17" i="4"/>
  <c r="L12" i="4"/>
  <c r="L18" i="4"/>
  <c r="L17" i="4"/>
  <c r="L13" i="4"/>
  <c r="L14" i="4" s="1"/>
  <c r="J7" i="4"/>
  <c r="I7" i="4"/>
  <c r="F7" i="4"/>
  <c r="C47" i="2" s="1"/>
  <c r="D21" i="2"/>
  <c r="D32" i="2" s="1"/>
  <c r="D10" i="2"/>
  <c r="G10" i="2"/>
  <c r="G21" i="2"/>
  <c r="G32" i="2" s="1"/>
  <c r="F10" i="2"/>
  <c r="F21" i="2"/>
  <c r="F32" i="2" s="1"/>
  <c r="E21" i="2"/>
  <c r="E32" i="2" s="1"/>
  <c r="E10" i="2"/>
  <c r="C21" i="2"/>
  <c r="C10" i="2"/>
  <c r="H10" i="2"/>
  <c r="H21" i="2"/>
  <c r="H32" i="2" s="1"/>
  <c r="G13" i="4"/>
  <c r="G14" i="4" s="1"/>
  <c r="G12" i="4"/>
  <c r="F43" i="2"/>
  <c r="H49" i="2" s="1"/>
  <c r="H61" i="2" s="1"/>
  <c r="G43" i="2"/>
  <c r="I49" i="2" s="1"/>
  <c r="I61" i="2" s="1"/>
  <c r="D43" i="2"/>
  <c r="F49" i="2" s="1"/>
  <c r="F61" i="2" s="1"/>
  <c r="E43" i="2"/>
  <c r="G49" i="2" s="1"/>
  <c r="G61" i="2" s="1"/>
  <c r="C43" i="2"/>
  <c r="D61" i="2" s="1"/>
  <c r="H43" i="2"/>
  <c r="J49" i="2" s="1"/>
  <c r="J61" i="2" s="1"/>
  <c r="J17" i="4"/>
  <c r="G4" i="2" s="1"/>
  <c r="G45" i="2" s="1"/>
  <c r="J13" i="4"/>
  <c r="J8" i="4"/>
  <c r="K12" i="4"/>
  <c r="K8" i="4"/>
  <c r="H5" i="2" s="1"/>
  <c r="I17" i="4"/>
  <c r="K7" i="4"/>
  <c r="H7" i="4"/>
  <c r="I8" i="4"/>
  <c r="J12" i="4"/>
  <c r="H17" i="4"/>
  <c r="F8" i="4"/>
  <c r="C5" i="2" s="1"/>
  <c r="D65" i="2" s="1"/>
  <c r="D73" i="2" s="1"/>
  <c r="G18" i="4"/>
  <c r="I13" i="4"/>
  <c r="I14" i="4" s="1"/>
  <c r="F44" i="2" s="1"/>
  <c r="K17" i="4"/>
  <c r="H18" i="4"/>
  <c r="G8" i="4"/>
  <c r="H12" i="4"/>
  <c r="K13" i="4"/>
  <c r="H13" i="4"/>
  <c r="H14" i="4" s="1"/>
  <c r="E44" i="2" s="1"/>
  <c r="I18" i="4"/>
  <c r="J18" i="4"/>
  <c r="K18" i="4"/>
  <c r="H8" i="4"/>
  <c r="I12" i="4"/>
  <c r="G17" i="4"/>
  <c r="D74" i="2" l="1"/>
  <c r="D72" i="2"/>
  <c r="J16" i="4"/>
  <c r="G44" i="2" s="1"/>
  <c r="G16" i="4"/>
  <c r="E4" i="2"/>
  <c r="E45" i="2" s="1"/>
  <c r="E46" i="2" s="1"/>
  <c r="K16" i="4"/>
  <c r="H44" i="2" s="1"/>
  <c r="J4" i="2"/>
  <c r="J45" i="2" s="1"/>
  <c r="M16" i="4"/>
  <c r="J44" i="2" s="1"/>
  <c r="M19" i="4"/>
  <c r="M20" i="4" s="1"/>
  <c r="T14" i="4"/>
  <c r="D18" i="2" s="1"/>
  <c r="S14" i="4"/>
  <c r="C18" i="2" s="1"/>
  <c r="U14" i="4"/>
  <c r="E18" i="2" s="1"/>
  <c r="X14" i="4"/>
  <c r="H18" i="2" s="1"/>
  <c r="W14" i="4"/>
  <c r="G18" i="2" s="1"/>
  <c r="V14" i="4"/>
  <c r="F18" i="2" s="1"/>
  <c r="L16" i="4"/>
  <c r="I44" i="2" s="1"/>
  <c r="W13" i="4"/>
  <c r="G17" i="2" s="1"/>
  <c r="U13" i="4"/>
  <c r="E17" i="2" s="1"/>
  <c r="X13" i="4"/>
  <c r="H17" i="2" s="1"/>
  <c r="V13" i="4"/>
  <c r="F17" i="2" s="1"/>
  <c r="T13" i="4"/>
  <c r="D17" i="2" s="1"/>
  <c r="Y14" i="4"/>
  <c r="I18" i="2" s="1"/>
  <c r="H4" i="2"/>
  <c r="H7" i="2" s="1"/>
  <c r="I4" i="2"/>
  <c r="I45" i="2" s="1"/>
  <c r="F4" i="2"/>
  <c r="F45" i="2" s="1"/>
  <c r="F46" i="2" s="1"/>
  <c r="L19" i="4"/>
  <c r="L20" i="4" s="1"/>
  <c r="S13" i="4"/>
  <c r="C17" i="2" s="1"/>
  <c r="C32" i="2"/>
  <c r="C8" i="2"/>
  <c r="D4" i="2"/>
  <c r="D45" i="2" s="1"/>
  <c r="T9" i="4"/>
  <c r="D13" i="2" s="1"/>
  <c r="D44" i="2"/>
  <c r="H16" i="4"/>
  <c r="I16" i="4"/>
  <c r="J14" i="4"/>
  <c r="K14" i="4"/>
  <c r="C46" i="2"/>
  <c r="E57" i="2" s="1"/>
  <c r="K9" i="4"/>
  <c r="G7" i="2"/>
  <c r="C7" i="2"/>
  <c r="W22" i="4"/>
  <c r="G26" i="2" s="1"/>
  <c r="G5" i="2"/>
  <c r="G8" i="2" s="1"/>
  <c r="V21" i="4"/>
  <c r="F25" i="2" s="1"/>
  <c r="F5" i="2"/>
  <c r="X23" i="4"/>
  <c r="H27" i="2" s="1"/>
  <c r="U20" i="4"/>
  <c r="E24" i="2" s="1"/>
  <c r="E5" i="2"/>
  <c r="T19" i="4"/>
  <c r="D23" i="2" s="1"/>
  <c r="D5" i="2"/>
  <c r="J19" i="4"/>
  <c r="J20" i="4" s="1"/>
  <c r="W12" i="4"/>
  <c r="G16" i="2" s="1"/>
  <c r="S11" i="4"/>
  <c r="C15" i="2" s="1"/>
  <c r="K19" i="4"/>
  <c r="K20" i="4" s="1"/>
  <c r="S12" i="4"/>
  <c r="C16" i="2" s="1"/>
  <c r="AC98" i="4"/>
  <c r="AD98" i="4" s="1"/>
  <c r="AC94" i="4"/>
  <c r="AD94" i="4" s="1"/>
  <c r="AC90" i="4"/>
  <c r="AD90" i="4" s="1"/>
  <c r="AC86" i="4"/>
  <c r="AD86" i="4" s="1"/>
  <c r="AC82" i="4"/>
  <c r="AD82" i="4" s="1"/>
  <c r="AC78" i="4"/>
  <c r="AD78" i="4" s="1"/>
  <c r="AC97" i="4"/>
  <c r="AD97" i="4" s="1"/>
  <c r="AC93" i="4"/>
  <c r="AD93" i="4" s="1"/>
  <c r="AC89" i="4"/>
  <c r="AD89" i="4" s="1"/>
  <c r="AC85" i="4"/>
  <c r="AD85" i="4" s="1"/>
  <c r="AC88" i="4"/>
  <c r="AD88" i="4" s="1"/>
  <c r="AC80" i="4"/>
  <c r="AD80" i="4" s="1"/>
  <c r="AC76" i="4"/>
  <c r="AD76" i="4" s="1"/>
  <c r="AC87" i="4"/>
  <c r="AD87" i="4" s="1"/>
  <c r="AC73" i="4"/>
  <c r="AD73" i="4" s="1"/>
  <c r="AC69" i="4"/>
  <c r="AD69" i="4" s="1"/>
  <c r="AC65" i="4"/>
  <c r="AD65" i="4" s="1"/>
  <c r="AC61" i="4"/>
  <c r="AD61" i="4" s="1"/>
  <c r="AC57" i="4"/>
  <c r="AD57" i="4" s="1"/>
  <c r="AC53" i="4"/>
  <c r="AD53" i="4" s="1"/>
  <c r="AC49" i="4"/>
  <c r="AD49" i="4" s="1"/>
  <c r="AC45" i="4"/>
  <c r="AD45" i="4" s="1"/>
  <c r="AC100" i="4"/>
  <c r="AD100" i="4" s="1"/>
  <c r="AC84" i="4"/>
  <c r="AD84" i="4" s="1"/>
  <c r="AC79" i="4"/>
  <c r="AD79" i="4" s="1"/>
  <c r="AC99" i="4"/>
  <c r="AD99" i="4" s="1"/>
  <c r="AC83" i="4"/>
  <c r="AD83" i="4" s="1"/>
  <c r="AC75" i="4"/>
  <c r="AD75" i="4" s="1"/>
  <c r="AC72" i="4"/>
  <c r="AD72" i="4" s="1"/>
  <c r="AC96" i="4"/>
  <c r="AD96" i="4" s="1"/>
  <c r="AC95" i="4"/>
  <c r="AD95" i="4" s="1"/>
  <c r="AC91" i="4"/>
  <c r="AD91" i="4" s="1"/>
  <c r="AC74" i="4"/>
  <c r="AD74" i="4" s="1"/>
  <c r="AC70" i="4"/>
  <c r="AD70" i="4" s="1"/>
  <c r="AC66" i="4"/>
  <c r="AD66" i="4" s="1"/>
  <c r="AC62" i="4"/>
  <c r="AD62" i="4" s="1"/>
  <c r="AC58" i="4"/>
  <c r="AD58" i="4" s="1"/>
  <c r="AC54" i="4"/>
  <c r="AD54" i="4" s="1"/>
  <c r="AC50" i="4"/>
  <c r="AD50" i="4" s="1"/>
  <c r="AC46" i="4"/>
  <c r="AD46" i="4" s="1"/>
  <c r="AC42" i="4"/>
  <c r="AC64" i="4"/>
  <c r="AD64" i="4" s="1"/>
  <c r="AC92" i="4"/>
  <c r="AD92" i="4" s="1"/>
  <c r="AC63" i="4"/>
  <c r="AD63" i="4" s="1"/>
  <c r="AC48" i="4"/>
  <c r="AD48" i="4" s="1"/>
  <c r="AC59" i="4"/>
  <c r="AD59" i="4" s="1"/>
  <c r="AC71" i="4"/>
  <c r="AD71" i="4" s="1"/>
  <c r="AC47" i="4"/>
  <c r="AD47" i="4" s="1"/>
  <c r="AC56" i="4"/>
  <c r="AD56" i="4" s="1"/>
  <c r="AC55" i="4"/>
  <c r="AD55" i="4" s="1"/>
  <c r="AC60" i="4"/>
  <c r="AD60" i="4" s="1"/>
  <c r="AC44" i="4"/>
  <c r="AD44" i="4" s="1"/>
  <c r="AC43" i="4"/>
  <c r="AD43" i="4" s="1"/>
  <c r="AC67" i="4"/>
  <c r="AD67" i="4" s="1"/>
  <c r="AC51" i="4"/>
  <c r="AD51" i="4" s="1"/>
  <c r="AC52" i="4"/>
  <c r="AD52" i="4" s="1"/>
  <c r="AC77" i="4"/>
  <c r="AD77" i="4" s="1"/>
  <c r="AC81" i="4"/>
  <c r="AD81" i="4" s="1"/>
  <c r="AC68" i="4"/>
  <c r="AD68" i="4" s="1"/>
  <c r="N100" i="4"/>
  <c r="O100" i="4" s="1"/>
  <c r="S100" i="4" s="1"/>
  <c r="T100" i="4" s="1"/>
  <c r="N96" i="4"/>
  <c r="O96" i="4" s="1"/>
  <c r="S96" i="4" s="1"/>
  <c r="T96" i="4" s="1"/>
  <c r="N92" i="4"/>
  <c r="O92" i="4" s="1"/>
  <c r="S92" i="4" s="1"/>
  <c r="T92" i="4" s="1"/>
  <c r="N88" i="4"/>
  <c r="O88" i="4" s="1"/>
  <c r="S88" i="4" s="1"/>
  <c r="T88" i="4" s="1"/>
  <c r="N84" i="4"/>
  <c r="O84" i="4" s="1"/>
  <c r="S84" i="4" s="1"/>
  <c r="T84" i="4" s="1"/>
  <c r="N80" i="4"/>
  <c r="O80" i="4" s="1"/>
  <c r="S80" i="4" s="1"/>
  <c r="T80" i="4" s="1"/>
  <c r="N99" i="4"/>
  <c r="O99" i="4" s="1"/>
  <c r="S99" i="4" s="1"/>
  <c r="T99" i="4" s="1"/>
  <c r="N95" i="4"/>
  <c r="O95" i="4" s="1"/>
  <c r="S95" i="4" s="1"/>
  <c r="T95" i="4" s="1"/>
  <c r="N91" i="4"/>
  <c r="O91" i="4" s="1"/>
  <c r="S91" i="4" s="1"/>
  <c r="T91" i="4" s="1"/>
  <c r="N87" i="4"/>
  <c r="O87" i="4" s="1"/>
  <c r="S87" i="4" s="1"/>
  <c r="T87" i="4" s="1"/>
  <c r="N89" i="4"/>
  <c r="O89" i="4" s="1"/>
  <c r="S89" i="4" s="1"/>
  <c r="T89" i="4" s="1"/>
  <c r="N76" i="4"/>
  <c r="O76" i="4" s="1"/>
  <c r="S76" i="4" s="1"/>
  <c r="T76" i="4" s="1"/>
  <c r="N86" i="4"/>
  <c r="O86" i="4" s="1"/>
  <c r="S86" i="4" s="1"/>
  <c r="T86" i="4" s="1"/>
  <c r="N71" i="4"/>
  <c r="O71" i="4" s="1"/>
  <c r="S71" i="4" s="1"/>
  <c r="T71" i="4" s="1"/>
  <c r="N67" i="4"/>
  <c r="O67" i="4" s="1"/>
  <c r="S67" i="4" s="1"/>
  <c r="T67" i="4" s="1"/>
  <c r="N63" i="4"/>
  <c r="O63" i="4" s="1"/>
  <c r="S63" i="4" s="1"/>
  <c r="T63" i="4" s="1"/>
  <c r="N59" i="4"/>
  <c r="O59" i="4" s="1"/>
  <c r="S59" i="4" s="1"/>
  <c r="T59" i="4" s="1"/>
  <c r="N55" i="4"/>
  <c r="O55" i="4" s="1"/>
  <c r="S55" i="4" s="1"/>
  <c r="T55" i="4" s="1"/>
  <c r="N51" i="4"/>
  <c r="O51" i="4" s="1"/>
  <c r="S51" i="4" s="1"/>
  <c r="T51" i="4" s="1"/>
  <c r="N47" i="4"/>
  <c r="O47" i="4" s="1"/>
  <c r="S47" i="4" s="1"/>
  <c r="T47" i="4" s="1"/>
  <c r="N43" i="4"/>
  <c r="O43" i="4" s="1"/>
  <c r="S43" i="4" s="1"/>
  <c r="T43" i="4" s="1"/>
  <c r="N85" i="4"/>
  <c r="O85" i="4" s="1"/>
  <c r="S85" i="4" s="1"/>
  <c r="T85" i="4" s="1"/>
  <c r="N83" i="4"/>
  <c r="O83" i="4" s="1"/>
  <c r="S83" i="4" s="1"/>
  <c r="T83" i="4" s="1"/>
  <c r="N79" i="4"/>
  <c r="O79" i="4" s="1"/>
  <c r="S79" i="4" s="1"/>
  <c r="T79" i="4" s="1"/>
  <c r="N98" i="4"/>
  <c r="O98" i="4" s="1"/>
  <c r="S98" i="4" s="1"/>
  <c r="T98" i="4" s="1"/>
  <c r="N75" i="4"/>
  <c r="O75" i="4" s="1"/>
  <c r="S75" i="4" s="1"/>
  <c r="T75" i="4" s="1"/>
  <c r="N74" i="4"/>
  <c r="O74" i="4" s="1"/>
  <c r="S74" i="4" s="1"/>
  <c r="T74" i="4" s="1"/>
  <c r="N97" i="4"/>
  <c r="O97" i="4" s="1"/>
  <c r="S97" i="4" s="1"/>
  <c r="T97" i="4" s="1"/>
  <c r="N94" i="4"/>
  <c r="O94" i="4" s="1"/>
  <c r="S94" i="4" s="1"/>
  <c r="T94" i="4" s="1"/>
  <c r="N90" i="4"/>
  <c r="O90" i="4" s="1"/>
  <c r="S90" i="4" s="1"/>
  <c r="T90" i="4" s="1"/>
  <c r="N81" i="4"/>
  <c r="O81" i="4" s="1"/>
  <c r="S81" i="4" s="1"/>
  <c r="T81" i="4" s="1"/>
  <c r="N77" i="4"/>
  <c r="O77" i="4" s="1"/>
  <c r="S77" i="4" s="1"/>
  <c r="T77" i="4" s="1"/>
  <c r="N72" i="4"/>
  <c r="O72" i="4" s="1"/>
  <c r="S72" i="4" s="1"/>
  <c r="T72" i="4" s="1"/>
  <c r="N68" i="4"/>
  <c r="O68" i="4" s="1"/>
  <c r="S68" i="4" s="1"/>
  <c r="T68" i="4" s="1"/>
  <c r="N64" i="4"/>
  <c r="O64" i="4" s="1"/>
  <c r="S64" i="4" s="1"/>
  <c r="T64" i="4" s="1"/>
  <c r="N60" i="4"/>
  <c r="O60" i="4" s="1"/>
  <c r="S60" i="4" s="1"/>
  <c r="T60" i="4" s="1"/>
  <c r="N56" i="4"/>
  <c r="O56" i="4" s="1"/>
  <c r="S56" i="4" s="1"/>
  <c r="T56" i="4" s="1"/>
  <c r="N52" i="4"/>
  <c r="O52" i="4" s="1"/>
  <c r="S52" i="4" s="1"/>
  <c r="T52" i="4" s="1"/>
  <c r="N48" i="4"/>
  <c r="O48" i="4" s="1"/>
  <c r="S48" i="4" s="1"/>
  <c r="T48" i="4" s="1"/>
  <c r="N44" i="4"/>
  <c r="O44" i="4" s="1"/>
  <c r="S44" i="4" s="1"/>
  <c r="T44" i="4" s="1"/>
  <c r="N65" i="4"/>
  <c r="O65" i="4" s="1"/>
  <c r="S65" i="4" s="1"/>
  <c r="T65" i="4" s="1"/>
  <c r="N49" i="4"/>
  <c r="O49" i="4" s="1"/>
  <c r="S49" i="4" s="1"/>
  <c r="T49" i="4" s="1"/>
  <c r="N42" i="4"/>
  <c r="O42" i="4" s="1"/>
  <c r="AM42" i="4" s="1"/>
  <c r="N93" i="4"/>
  <c r="O93" i="4" s="1"/>
  <c r="S93" i="4" s="1"/>
  <c r="T93" i="4" s="1"/>
  <c r="N62" i="4"/>
  <c r="O62" i="4" s="1"/>
  <c r="S62" i="4" s="1"/>
  <c r="T62" i="4" s="1"/>
  <c r="N54" i="4"/>
  <c r="O54" i="4" s="1"/>
  <c r="S54" i="4" s="1"/>
  <c r="T54" i="4" s="1"/>
  <c r="N45" i="4"/>
  <c r="O45" i="4" s="1"/>
  <c r="S45" i="4" s="1"/>
  <c r="T45" i="4" s="1"/>
  <c r="N58" i="4"/>
  <c r="O58" i="4" s="1"/>
  <c r="S58" i="4" s="1"/>
  <c r="T58" i="4" s="1"/>
  <c r="N53" i="4"/>
  <c r="O53" i="4" s="1"/>
  <c r="S53" i="4" s="1"/>
  <c r="T53" i="4" s="1"/>
  <c r="N70" i="4"/>
  <c r="O70" i="4" s="1"/>
  <c r="S70" i="4" s="1"/>
  <c r="T70" i="4" s="1"/>
  <c r="N78" i="4"/>
  <c r="O78" i="4" s="1"/>
  <c r="S78" i="4" s="1"/>
  <c r="T78" i="4" s="1"/>
  <c r="N61" i="4"/>
  <c r="O61" i="4" s="1"/>
  <c r="S61" i="4" s="1"/>
  <c r="T61" i="4" s="1"/>
  <c r="N57" i="4"/>
  <c r="O57" i="4" s="1"/>
  <c r="S57" i="4" s="1"/>
  <c r="T57" i="4" s="1"/>
  <c r="N73" i="4"/>
  <c r="O73" i="4" s="1"/>
  <c r="S73" i="4" s="1"/>
  <c r="T73" i="4" s="1"/>
  <c r="N82" i="4"/>
  <c r="O82" i="4" s="1"/>
  <c r="S82" i="4" s="1"/>
  <c r="T82" i="4" s="1"/>
  <c r="N66" i="4"/>
  <c r="O66" i="4" s="1"/>
  <c r="S66" i="4" s="1"/>
  <c r="T66" i="4" s="1"/>
  <c r="N50" i="4"/>
  <c r="O50" i="4" s="1"/>
  <c r="S50" i="4" s="1"/>
  <c r="T50" i="4" s="1"/>
  <c r="N46" i="4"/>
  <c r="O46" i="4" s="1"/>
  <c r="S46" i="4" s="1"/>
  <c r="T46" i="4" s="1"/>
  <c r="N69" i="4"/>
  <c r="O69" i="4" s="1"/>
  <c r="S69" i="4" s="1"/>
  <c r="T69" i="4" s="1"/>
  <c r="I98" i="4"/>
  <c r="J98" i="4" s="1"/>
  <c r="AH98" i="4" s="1"/>
  <c r="AI98" i="4" s="1"/>
  <c r="I94" i="4"/>
  <c r="J94" i="4" s="1"/>
  <c r="AH94" i="4" s="1"/>
  <c r="AI94" i="4" s="1"/>
  <c r="I90" i="4"/>
  <c r="J90" i="4" s="1"/>
  <c r="AH90" i="4" s="1"/>
  <c r="AI90" i="4" s="1"/>
  <c r="I86" i="4"/>
  <c r="J86" i="4" s="1"/>
  <c r="AH86" i="4" s="1"/>
  <c r="AI86" i="4" s="1"/>
  <c r="I82" i="4"/>
  <c r="J82" i="4" s="1"/>
  <c r="AH82" i="4" s="1"/>
  <c r="AI82" i="4" s="1"/>
  <c r="I78" i="4"/>
  <c r="J78" i="4" s="1"/>
  <c r="AH78" i="4" s="1"/>
  <c r="AI78" i="4" s="1"/>
  <c r="I97" i="4"/>
  <c r="J97" i="4" s="1"/>
  <c r="AH97" i="4" s="1"/>
  <c r="AI97" i="4" s="1"/>
  <c r="I93" i="4"/>
  <c r="J93" i="4" s="1"/>
  <c r="AH93" i="4" s="1"/>
  <c r="AI93" i="4" s="1"/>
  <c r="I89" i="4"/>
  <c r="J89" i="4" s="1"/>
  <c r="AH89" i="4" s="1"/>
  <c r="AI89" i="4" s="1"/>
  <c r="I85" i="4"/>
  <c r="J85" i="4" s="1"/>
  <c r="AH85" i="4" s="1"/>
  <c r="AI85" i="4" s="1"/>
  <c r="I92" i="4"/>
  <c r="J92" i="4" s="1"/>
  <c r="AH92" i="4" s="1"/>
  <c r="AI92" i="4" s="1"/>
  <c r="I91" i="4"/>
  <c r="J91" i="4" s="1"/>
  <c r="AH91" i="4" s="1"/>
  <c r="AI91" i="4" s="1"/>
  <c r="I81" i="4"/>
  <c r="J81" i="4" s="1"/>
  <c r="AH81" i="4" s="1"/>
  <c r="AI81" i="4" s="1"/>
  <c r="I77" i="4"/>
  <c r="J77" i="4" s="1"/>
  <c r="AH77" i="4" s="1"/>
  <c r="AI77" i="4" s="1"/>
  <c r="I73" i="4"/>
  <c r="J73" i="4" s="1"/>
  <c r="AH73" i="4" s="1"/>
  <c r="AI73" i="4" s="1"/>
  <c r="I69" i="4"/>
  <c r="J69" i="4" s="1"/>
  <c r="AH69" i="4" s="1"/>
  <c r="AI69" i="4" s="1"/>
  <c r="I65" i="4"/>
  <c r="J65" i="4" s="1"/>
  <c r="AH65" i="4" s="1"/>
  <c r="AI65" i="4" s="1"/>
  <c r="I61" i="4"/>
  <c r="J61" i="4" s="1"/>
  <c r="AH61" i="4" s="1"/>
  <c r="AI61" i="4" s="1"/>
  <c r="I57" i="4"/>
  <c r="J57" i="4" s="1"/>
  <c r="AH57" i="4" s="1"/>
  <c r="AI57" i="4" s="1"/>
  <c r="I53" i="4"/>
  <c r="J53" i="4" s="1"/>
  <c r="AH53" i="4" s="1"/>
  <c r="AI53" i="4" s="1"/>
  <c r="I49" i="4"/>
  <c r="J49" i="4" s="1"/>
  <c r="AH49" i="4" s="1"/>
  <c r="AI49" i="4" s="1"/>
  <c r="I45" i="4"/>
  <c r="J45" i="4" s="1"/>
  <c r="AH45" i="4" s="1"/>
  <c r="AI45" i="4" s="1"/>
  <c r="I88" i="4"/>
  <c r="J88" i="4" s="1"/>
  <c r="AH88" i="4" s="1"/>
  <c r="AI88" i="4" s="1"/>
  <c r="I80" i="4"/>
  <c r="J80" i="4" s="1"/>
  <c r="AH80" i="4" s="1"/>
  <c r="AI80" i="4" s="1"/>
  <c r="I87" i="4"/>
  <c r="J87" i="4" s="1"/>
  <c r="AH87" i="4" s="1"/>
  <c r="AI87" i="4" s="1"/>
  <c r="I76" i="4"/>
  <c r="J76" i="4" s="1"/>
  <c r="AH76" i="4" s="1"/>
  <c r="AI76" i="4" s="1"/>
  <c r="I72" i="4"/>
  <c r="J72" i="4" s="1"/>
  <c r="AH72" i="4" s="1"/>
  <c r="AI72" i="4" s="1"/>
  <c r="I100" i="4"/>
  <c r="J100" i="4" s="1"/>
  <c r="AH100" i="4" s="1"/>
  <c r="AI100" i="4" s="1"/>
  <c r="I99" i="4"/>
  <c r="J99" i="4" s="1"/>
  <c r="AH99" i="4" s="1"/>
  <c r="AI99" i="4" s="1"/>
  <c r="I95" i="4"/>
  <c r="J95" i="4" s="1"/>
  <c r="AH95" i="4" s="1"/>
  <c r="AI95" i="4" s="1"/>
  <c r="I75" i="4"/>
  <c r="J75" i="4" s="1"/>
  <c r="AH75" i="4" s="1"/>
  <c r="AI75" i="4" s="1"/>
  <c r="I74" i="4"/>
  <c r="J74" i="4" s="1"/>
  <c r="AH74" i="4" s="1"/>
  <c r="AI74" i="4" s="1"/>
  <c r="I70" i="4"/>
  <c r="J70" i="4" s="1"/>
  <c r="AH70" i="4" s="1"/>
  <c r="AI70" i="4" s="1"/>
  <c r="I66" i="4"/>
  <c r="J66" i="4" s="1"/>
  <c r="AH66" i="4" s="1"/>
  <c r="AI66" i="4" s="1"/>
  <c r="I62" i="4"/>
  <c r="J62" i="4" s="1"/>
  <c r="AH62" i="4" s="1"/>
  <c r="AI62" i="4" s="1"/>
  <c r="I58" i="4"/>
  <c r="J58" i="4" s="1"/>
  <c r="AH58" i="4" s="1"/>
  <c r="AI58" i="4" s="1"/>
  <c r="I54" i="4"/>
  <c r="J54" i="4" s="1"/>
  <c r="AH54" i="4" s="1"/>
  <c r="AI54" i="4" s="1"/>
  <c r="I50" i="4"/>
  <c r="J50" i="4" s="1"/>
  <c r="AH50" i="4" s="1"/>
  <c r="AI50" i="4" s="1"/>
  <c r="I46" i="4"/>
  <c r="J46" i="4" s="1"/>
  <c r="AH46" i="4" s="1"/>
  <c r="AI46" i="4" s="1"/>
  <c r="I42" i="4"/>
  <c r="J42" i="4" s="1"/>
  <c r="AH42" i="4" s="1"/>
  <c r="I68" i="4"/>
  <c r="J68" i="4" s="1"/>
  <c r="AH68" i="4" s="1"/>
  <c r="AI68" i="4" s="1"/>
  <c r="I55" i="4"/>
  <c r="J55" i="4" s="1"/>
  <c r="AH55" i="4" s="1"/>
  <c r="AI55" i="4" s="1"/>
  <c r="I52" i="4"/>
  <c r="J52" i="4" s="1"/>
  <c r="AH52" i="4" s="1"/>
  <c r="AI52" i="4" s="1"/>
  <c r="I67" i="4"/>
  <c r="J67" i="4" s="1"/>
  <c r="AH67" i="4" s="1"/>
  <c r="AI67" i="4" s="1"/>
  <c r="I51" i="4"/>
  <c r="J51" i="4" s="1"/>
  <c r="AH51" i="4" s="1"/>
  <c r="AI51" i="4" s="1"/>
  <c r="I48" i="4"/>
  <c r="J48" i="4" s="1"/>
  <c r="AH48" i="4" s="1"/>
  <c r="AI48" i="4" s="1"/>
  <c r="I83" i="4"/>
  <c r="J83" i="4" s="1"/>
  <c r="AH83" i="4" s="1"/>
  <c r="AI83" i="4" s="1"/>
  <c r="I71" i="4"/>
  <c r="J71" i="4" s="1"/>
  <c r="AH71" i="4" s="1"/>
  <c r="AI71" i="4" s="1"/>
  <c r="I44" i="4"/>
  <c r="J44" i="4" s="1"/>
  <c r="AH44" i="4" s="1"/>
  <c r="AI44" i="4" s="1"/>
  <c r="I96" i="4"/>
  <c r="J96" i="4" s="1"/>
  <c r="AH96" i="4" s="1"/>
  <c r="AI96" i="4" s="1"/>
  <c r="I64" i="4"/>
  <c r="J64" i="4" s="1"/>
  <c r="AH64" i="4" s="1"/>
  <c r="AI64" i="4" s="1"/>
  <c r="I63" i="4"/>
  <c r="J63" i="4" s="1"/>
  <c r="AH63" i="4" s="1"/>
  <c r="AI63" i="4" s="1"/>
  <c r="I60" i="4"/>
  <c r="J60" i="4" s="1"/>
  <c r="AH60" i="4" s="1"/>
  <c r="AI60" i="4" s="1"/>
  <c r="I79" i="4"/>
  <c r="J79" i="4" s="1"/>
  <c r="AH79" i="4" s="1"/>
  <c r="AI79" i="4" s="1"/>
  <c r="I59" i="4"/>
  <c r="J59" i="4" s="1"/>
  <c r="AH59" i="4" s="1"/>
  <c r="AI59" i="4" s="1"/>
  <c r="I84" i="4"/>
  <c r="J84" i="4" s="1"/>
  <c r="AH84" i="4" s="1"/>
  <c r="AI84" i="4" s="1"/>
  <c r="I56" i="4"/>
  <c r="J56" i="4" s="1"/>
  <c r="AH56" i="4" s="1"/>
  <c r="AI56" i="4" s="1"/>
  <c r="I43" i="4"/>
  <c r="J43" i="4" s="1"/>
  <c r="AH43" i="4" s="1"/>
  <c r="AI43" i="4" s="1"/>
  <c r="I47" i="4"/>
  <c r="J47" i="4" s="1"/>
  <c r="AH47" i="4" s="1"/>
  <c r="AI47" i="4" s="1"/>
  <c r="I19" i="4"/>
  <c r="I20" i="4" s="1"/>
  <c r="V12" i="4"/>
  <c r="F16" i="2" s="1"/>
  <c r="V11" i="4"/>
  <c r="F15" i="2" s="1"/>
  <c r="S10" i="4"/>
  <c r="C14" i="2" s="1"/>
  <c r="H9" i="4"/>
  <c r="I9" i="4"/>
  <c r="G9" i="4"/>
  <c r="F9" i="4"/>
  <c r="J9" i="4"/>
  <c r="T12" i="4"/>
  <c r="D16" i="2" s="1"/>
  <c r="T10" i="4"/>
  <c r="D14" i="2" s="1"/>
  <c r="S8" i="4"/>
  <c r="C12" i="2" s="1"/>
  <c r="G19" i="4"/>
  <c r="G20" i="4" s="1"/>
  <c r="T11" i="4"/>
  <c r="D15" i="2" s="1"/>
  <c r="S42" i="4"/>
  <c r="T42" i="4" s="1"/>
  <c r="H19" i="4"/>
  <c r="H20" i="4" s="1"/>
  <c r="S9" i="4"/>
  <c r="C13" i="2" s="1"/>
  <c r="U11" i="4"/>
  <c r="E15" i="2" s="1"/>
  <c r="U12" i="4"/>
  <c r="E16" i="2" s="1"/>
  <c r="U10" i="4"/>
  <c r="E14" i="2" s="1"/>
  <c r="S18" i="4"/>
  <c r="S20" i="4" s="1"/>
  <c r="F12" i="4"/>
  <c r="F11" i="4"/>
  <c r="X100" i="4"/>
  <c r="Y100" i="4" s="1"/>
  <c r="X96" i="4"/>
  <c r="Y96" i="4" s="1"/>
  <c r="X92" i="4"/>
  <c r="Y92" i="4" s="1"/>
  <c r="X88" i="4"/>
  <c r="Y88" i="4" s="1"/>
  <c r="X84" i="4"/>
  <c r="Y84" i="4" s="1"/>
  <c r="X80" i="4"/>
  <c r="Y80" i="4" s="1"/>
  <c r="X76" i="4"/>
  <c r="Y76" i="4" s="1"/>
  <c r="X99" i="4"/>
  <c r="Y99" i="4" s="1"/>
  <c r="X95" i="4"/>
  <c r="Y95" i="4" s="1"/>
  <c r="X91" i="4"/>
  <c r="Y91" i="4" s="1"/>
  <c r="X87" i="4"/>
  <c r="Y87" i="4" s="1"/>
  <c r="X83" i="4"/>
  <c r="Y83" i="4" s="1"/>
  <c r="X94" i="4"/>
  <c r="Y94" i="4" s="1"/>
  <c r="X93" i="4"/>
  <c r="Y93" i="4" s="1"/>
  <c r="X81" i="4"/>
  <c r="Y81" i="4" s="1"/>
  <c r="X77" i="4"/>
  <c r="Y77" i="4" s="1"/>
  <c r="X71" i="4"/>
  <c r="Y71" i="4" s="1"/>
  <c r="X67" i="4"/>
  <c r="Y67" i="4" s="1"/>
  <c r="X63" i="4"/>
  <c r="Y63" i="4" s="1"/>
  <c r="X59" i="4"/>
  <c r="Y59" i="4" s="1"/>
  <c r="X55" i="4"/>
  <c r="Y55" i="4" s="1"/>
  <c r="X51" i="4"/>
  <c r="Y51" i="4" s="1"/>
  <c r="X47" i="4"/>
  <c r="Y47" i="4" s="1"/>
  <c r="X43" i="4"/>
  <c r="Y43" i="4" s="1"/>
  <c r="X90" i="4"/>
  <c r="Y90" i="4" s="1"/>
  <c r="X89" i="4"/>
  <c r="Y89" i="4" s="1"/>
  <c r="X74" i="4"/>
  <c r="Y74" i="4" s="1"/>
  <c r="X86" i="4"/>
  <c r="Y86" i="4" s="1"/>
  <c r="X97" i="4"/>
  <c r="Y97" i="4" s="1"/>
  <c r="X82" i="4"/>
  <c r="Y82" i="4" s="1"/>
  <c r="X78" i="4"/>
  <c r="Y78" i="4" s="1"/>
  <c r="X72" i="4"/>
  <c r="Y72" i="4" s="1"/>
  <c r="X68" i="4"/>
  <c r="Y68" i="4" s="1"/>
  <c r="X64" i="4"/>
  <c r="Y64" i="4" s="1"/>
  <c r="X60" i="4"/>
  <c r="Y60" i="4" s="1"/>
  <c r="X56" i="4"/>
  <c r="Y56" i="4" s="1"/>
  <c r="X52" i="4"/>
  <c r="Y52" i="4" s="1"/>
  <c r="X48" i="4"/>
  <c r="Y48" i="4" s="1"/>
  <c r="X44" i="4"/>
  <c r="Y44" i="4" s="1"/>
  <c r="X69" i="4"/>
  <c r="Y69" i="4" s="1"/>
  <c r="X57" i="4"/>
  <c r="Y57" i="4" s="1"/>
  <c r="X46" i="4"/>
  <c r="Y46" i="4" s="1"/>
  <c r="X54" i="4"/>
  <c r="Y54" i="4" s="1"/>
  <c r="X85" i="4"/>
  <c r="Y85" i="4" s="1"/>
  <c r="X45" i="4"/>
  <c r="Y45" i="4" s="1"/>
  <c r="X66" i="4"/>
  <c r="Y66" i="4" s="1"/>
  <c r="X50" i="4"/>
  <c r="Y50" i="4" s="1"/>
  <c r="X42" i="4"/>
  <c r="Y42" i="4" s="1"/>
  <c r="X49" i="4"/>
  <c r="Y49" i="4" s="1"/>
  <c r="X62" i="4"/>
  <c r="Y62" i="4" s="1"/>
  <c r="X61" i="4"/>
  <c r="Y61" i="4" s="1"/>
  <c r="X73" i="4"/>
  <c r="Y73" i="4" s="1"/>
  <c r="X58" i="4"/>
  <c r="Y58" i="4" s="1"/>
  <c r="X98" i="4"/>
  <c r="Y98" i="4" s="1"/>
  <c r="X65" i="4"/>
  <c r="Y65" i="4" s="1"/>
  <c r="X79" i="4"/>
  <c r="Y79" i="4" s="1"/>
  <c r="X75" i="4"/>
  <c r="Y75" i="4" s="1"/>
  <c r="X70" i="4"/>
  <c r="Y70" i="4" s="1"/>
  <c r="X53" i="4"/>
  <c r="Y53" i="4" s="1"/>
  <c r="D76" i="2" l="1"/>
  <c r="E8" i="2"/>
  <c r="E7" i="2"/>
  <c r="V24" i="4"/>
  <c r="F28" i="2" s="1"/>
  <c r="T25" i="4"/>
  <c r="D29" i="2" s="1"/>
  <c r="U21" i="4"/>
  <c r="E25" i="2" s="1"/>
  <c r="X24" i="4"/>
  <c r="H28" i="2" s="1"/>
  <c r="U25" i="4"/>
  <c r="E29" i="2" s="1"/>
  <c r="U22" i="4"/>
  <c r="E26" i="2" s="1"/>
  <c r="U24" i="4"/>
  <c r="E28" i="2" s="1"/>
  <c r="X25" i="4"/>
  <c r="H29" i="2" s="1"/>
  <c r="Y25" i="4"/>
  <c r="I29" i="2" s="1"/>
  <c r="V25" i="4"/>
  <c r="F29" i="2" s="1"/>
  <c r="W24" i="4"/>
  <c r="G28" i="2" s="1"/>
  <c r="W23" i="4"/>
  <c r="G27" i="2" s="1"/>
  <c r="V22" i="4"/>
  <c r="F26" i="2" s="1"/>
  <c r="W25" i="4"/>
  <c r="G29" i="2" s="1"/>
  <c r="V23" i="4"/>
  <c r="F27" i="2" s="1"/>
  <c r="S25" i="4"/>
  <c r="C29" i="2" s="1"/>
  <c r="T23" i="4"/>
  <c r="D27" i="2" s="1"/>
  <c r="U23" i="4"/>
  <c r="E27" i="2" s="1"/>
  <c r="J7" i="2"/>
  <c r="J8" i="2"/>
  <c r="T38" i="4"/>
  <c r="Y38" i="4"/>
  <c r="J46" i="2"/>
  <c r="AM96" i="4"/>
  <c r="AN96" i="4" s="1"/>
  <c r="AM46" i="4"/>
  <c r="AN46" i="4" s="1"/>
  <c r="AM75" i="4"/>
  <c r="AN75" i="4" s="1"/>
  <c r="AM55" i="4"/>
  <c r="AN55" i="4" s="1"/>
  <c r="L11" i="4"/>
  <c r="AN42" i="4"/>
  <c r="AM59" i="4"/>
  <c r="AN59" i="4" s="1"/>
  <c r="AM61" i="4"/>
  <c r="AN61" i="4" s="1"/>
  <c r="AM81" i="4"/>
  <c r="AN81" i="4" s="1"/>
  <c r="AM73" i="4"/>
  <c r="AN73" i="4" s="1"/>
  <c r="AM71" i="4"/>
  <c r="AN71" i="4" s="1"/>
  <c r="AM43" i="4"/>
  <c r="AN43" i="4" s="1"/>
  <c r="AM68" i="4"/>
  <c r="AN68" i="4" s="1"/>
  <c r="AM56" i="4"/>
  <c r="AN56" i="4" s="1"/>
  <c r="AM86" i="4"/>
  <c r="AN86" i="4" s="1"/>
  <c r="AM93" i="4"/>
  <c r="AN93" i="4" s="1"/>
  <c r="AM65" i="4"/>
  <c r="AN65" i="4" s="1"/>
  <c r="AM63" i="4"/>
  <c r="AN63" i="4" s="1"/>
  <c r="AM45" i="4"/>
  <c r="AN45" i="4" s="1"/>
  <c r="AM100" i="4"/>
  <c r="AN100" i="4" s="1"/>
  <c r="AM66" i="4"/>
  <c r="AN66" i="4" s="1"/>
  <c r="AM52" i="4"/>
  <c r="AN52" i="4" s="1"/>
  <c r="AM84" i="4"/>
  <c r="AN84" i="4" s="1"/>
  <c r="AM49" i="4"/>
  <c r="AN49" i="4" s="1"/>
  <c r="AM89" i="4"/>
  <c r="AN89" i="4" s="1"/>
  <c r="AM98" i="4"/>
  <c r="AN98" i="4" s="1"/>
  <c r="AM64" i="4"/>
  <c r="AN64" i="4" s="1"/>
  <c r="AM48" i="4"/>
  <c r="AN48" i="4" s="1"/>
  <c r="AM82" i="4"/>
  <c r="AN82" i="4" s="1"/>
  <c r="AM77" i="4"/>
  <c r="AN77" i="4" s="1"/>
  <c r="AM99" i="4"/>
  <c r="AN99" i="4" s="1"/>
  <c r="AM62" i="4"/>
  <c r="AN62" i="4" s="1"/>
  <c r="AM44" i="4"/>
  <c r="AN44" i="4" s="1"/>
  <c r="AM80" i="4"/>
  <c r="AN80" i="4" s="1"/>
  <c r="I46" i="2"/>
  <c r="AM97" i="4"/>
  <c r="AN97" i="4" s="1"/>
  <c r="AM91" i="4"/>
  <c r="AN91" i="4" s="1"/>
  <c r="AM94" i="4"/>
  <c r="AN94" i="4" s="1"/>
  <c r="AM58" i="4"/>
  <c r="AN58" i="4" s="1"/>
  <c r="AM76" i="4"/>
  <c r="AN76" i="4" s="1"/>
  <c r="AM78" i="4"/>
  <c r="AN78" i="4" s="1"/>
  <c r="AM83" i="4"/>
  <c r="AN83" i="4" s="1"/>
  <c r="AM79" i="4"/>
  <c r="AN79" i="4" s="1"/>
  <c r="AM92" i="4"/>
  <c r="AN92" i="4" s="1"/>
  <c r="AM54" i="4"/>
  <c r="AN54" i="4" s="1"/>
  <c r="AM74" i="4"/>
  <c r="AN74" i="4" s="1"/>
  <c r="AM85" i="4"/>
  <c r="AN85" i="4" s="1"/>
  <c r="AM95" i="4"/>
  <c r="AN95" i="4" s="1"/>
  <c r="AM51" i="4"/>
  <c r="AN51" i="4" s="1"/>
  <c r="AM67" i="4"/>
  <c r="AN67" i="4" s="1"/>
  <c r="AM53" i="4"/>
  <c r="AN53" i="4" s="1"/>
  <c r="AM90" i="4"/>
  <c r="AN90" i="4" s="1"/>
  <c r="AM50" i="4"/>
  <c r="AN50" i="4" s="1"/>
  <c r="AM72" i="4"/>
  <c r="AN72" i="4" s="1"/>
  <c r="AM69" i="4"/>
  <c r="AN69" i="4" s="1"/>
  <c r="AM87" i="4"/>
  <c r="AN87" i="4" s="1"/>
  <c r="AM57" i="4"/>
  <c r="AN57" i="4" s="1"/>
  <c r="AM47" i="4"/>
  <c r="AN47" i="4" s="1"/>
  <c r="AM88" i="4"/>
  <c r="AN88" i="4" s="1"/>
  <c r="AM70" i="4"/>
  <c r="AN70" i="4" s="1"/>
  <c r="AM60" i="4"/>
  <c r="AN60" i="4" s="1"/>
  <c r="F7" i="2"/>
  <c r="F8" i="2"/>
  <c r="H8" i="2"/>
  <c r="H45" i="2"/>
  <c r="H46" i="2" s="1"/>
  <c r="AI42" i="4"/>
  <c r="T24" i="4"/>
  <c r="D28" i="2" s="1"/>
  <c r="S19" i="4"/>
  <c r="C23" i="2" s="1"/>
  <c r="I8" i="2"/>
  <c r="S21" i="4"/>
  <c r="C25" i="2" s="1"/>
  <c r="T20" i="4"/>
  <c r="D24" i="2" s="1"/>
  <c r="S24" i="4"/>
  <c r="C28" i="2" s="1"/>
  <c r="I7" i="2"/>
  <c r="D46" i="2"/>
  <c r="D8" i="2"/>
  <c r="D7" i="2"/>
  <c r="G10" i="4"/>
  <c r="D6" i="2" s="1"/>
  <c r="F50" i="2" s="1"/>
  <c r="F51" i="2" s="1"/>
  <c r="G46" i="2"/>
  <c r="D64" i="2"/>
  <c r="T22" i="4"/>
  <c r="D26" i="2" s="1"/>
  <c r="S22" i="4"/>
  <c r="C26" i="2" s="1"/>
  <c r="T21" i="4"/>
  <c r="D25" i="2" s="1"/>
  <c r="S23" i="4"/>
  <c r="C27" i="2" s="1"/>
  <c r="C22" i="2"/>
  <c r="C24" i="2"/>
  <c r="U33" i="4"/>
  <c r="E37" i="2" s="1"/>
  <c r="U32" i="4"/>
  <c r="E36" i="2" s="1"/>
  <c r="H10" i="4"/>
  <c r="E6" i="2" s="1"/>
  <c r="G50" i="2" s="1"/>
  <c r="G51" i="2" s="1"/>
  <c r="H11" i="4"/>
  <c r="I10" i="4"/>
  <c r="F6" i="2" s="1"/>
  <c r="H50" i="2" s="1"/>
  <c r="H51" i="2" s="1"/>
  <c r="V33" i="4"/>
  <c r="F37" i="2" s="1"/>
  <c r="J11" i="4"/>
  <c r="G11" i="4"/>
  <c r="J10" i="4"/>
  <c r="G6" i="2" s="1"/>
  <c r="I50" i="2" s="1"/>
  <c r="I51" i="2" s="1"/>
  <c r="K11" i="4"/>
  <c r="I11" i="4"/>
  <c r="T33" i="4"/>
  <c r="D37" i="2" s="1"/>
  <c r="T32" i="4"/>
  <c r="D36" i="2" s="1"/>
  <c r="T31" i="4"/>
  <c r="D35" i="2" s="1"/>
  <c r="AD42" i="4"/>
  <c r="D66" i="2" l="1"/>
  <c r="D68" i="2"/>
  <c r="D71" i="2"/>
  <c r="D75" i="2"/>
  <c r="D77" i="2" s="1"/>
  <c r="X36" i="4"/>
  <c r="H40" i="2" s="1"/>
  <c r="W36" i="4"/>
  <c r="G40" i="2" s="1"/>
  <c r="V36" i="4"/>
  <c r="F40" i="2" s="1"/>
  <c r="U36" i="4"/>
  <c r="E40" i="2" s="1"/>
  <c r="T36" i="4"/>
  <c r="D40" i="2" s="1"/>
  <c r="L10" i="4"/>
  <c r="I6" i="2" s="1"/>
  <c r="K50" i="2" s="1"/>
  <c r="K51" i="2" s="1"/>
  <c r="W35" i="4"/>
  <c r="G39" i="2" s="1"/>
  <c r="U35" i="4"/>
  <c r="E39" i="2" s="1"/>
  <c r="V35" i="4"/>
  <c r="F39" i="2" s="1"/>
  <c r="Y36" i="4"/>
  <c r="I40" i="2" s="1"/>
  <c r="X35" i="4"/>
  <c r="H39" i="2" s="1"/>
  <c r="T35" i="4"/>
  <c r="D39" i="2" s="1"/>
  <c r="M10" i="4"/>
  <c r="J6" i="2" s="1"/>
  <c r="L50" i="2" s="1"/>
  <c r="L51" i="2" s="1"/>
  <c r="M11" i="4"/>
  <c r="K10" i="4"/>
  <c r="T34" i="4"/>
  <c r="D38" i="2" s="1"/>
  <c r="W34" i="4"/>
  <c r="G38" i="2" s="1"/>
  <c r="U34" i="4"/>
  <c r="E38" i="2" s="1"/>
  <c r="V34" i="4"/>
  <c r="F38" i="2" s="1"/>
  <c r="D78" i="2" l="1"/>
  <c r="H6" i="2"/>
  <c r="J50" i="2" s="1"/>
  <c r="J51" i="2" s="1"/>
  <c r="E51" i="2" s="1"/>
  <c r="K52" i="2" l="1"/>
  <c r="L52" i="2"/>
  <c r="J52" i="2"/>
  <c r="J53" i="2" l="1"/>
  <c r="L53" i="2"/>
  <c r="F52" i="2"/>
  <c r="I52" i="2"/>
  <c r="K53" i="2"/>
  <c r="H52" i="2"/>
  <c r="H53" i="2" s="1"/>
  <c r="G52" i="2"/>
  <c r="G53" i="2" s="1"/>
  <c r="E54" i="2" l="1"/>
  <c r="I53" i="2"/>
  <c r="E52" i="2"/>
  <c r="E64" i="2"/>
  <c r="E63" i="2"/>
  <c r="E72" i="2" s="1"/>
  <c r="E59" i="2"/>
  <c r="F53" i="2"/>
  <c r="E55" i="2" l="1"/>
  <c r="E65" i="2" s="1"/>
  <c r="E73" i="2" s="1"/>
  <c r="E74" i="2" s="1"/>
  <c r="E76" i="2" s="1"/>
  <c r="E68" i="2"/>
  <c r="E75" i="2"/>
  <c r="E71" i="2"/>
  <c r="E69" i="2"/>
  <c r="E56" i="2" l="1"/>
  <c r="E58" i="2" s="1"/>
  <c r="E70" i="2"/>
  <c r="E78" i="2"/>
  <c r="E66" i="2"/>
  <c r="E77" i="2"/>
  <c r="J62" i="2" l="1"/>
  <c r="K32" i="4" s="1"/>
  <c r="F62" i="2"/>
  <c r="G32" i="4" s="1"/>
  <c r="K62" i="2"/>
  <c r="L32" i="4" s="1"/>
  <c r="G62" i="2"/>
  <c r="H32" i="4" s="1"/>
  <c r="H62" i="2"/>
  <c r="I32" i="4" s="1"/>
  <c r="I62" i="2"/>
  <c r="J32" i="4" s="1"/>
  <c r="D62" i="2"/>
  <c r="C78" i="2" s="1"/>
  <c r="C24" i="5"/>
  <c r="L62" i="2" l="1"/>
  <c r="M32" i="4" s="1"/>
  <c r="C69" i="2"/>
  <c r="C76" i="2"/>
  <c r="C74" i="2"/>
  <c r="F32" i="4"/>
  <c r="C77" i="2"/>
  <c r="C64" i="2"/>
  <c r="C63" i="2"/>
  <c r="C75" i="2"/>
  <c r="C72" i="2"/>
  <c r="C70" i="2"/>
  <c r="C73" i="2"/>
  <c r="C65" i="2"/>
  <c r="D7" i="5" s="1"/>
  <c r="C71" i="2"/>
  <c r="AP43" i="4" l="1"/>
  <c r="AP48" i="4"/>
  <c r="AU48" i="4" s="1"/>
  <c r="AP88" i="4"/>
  <c r="AU88" i="4" s="1"/>
  <c r="AP45" i="4"/>
  <c r="AU45" i="4" s="1"/>
  <c r="AP60" i="4"/>
  <c r="AP87" i="4"/>
  <c r="AU87" i="4" s="1"/>
  <c r="AP74" i="4"/>
  <c r="AU74" i="4" s="1"/>
  <c r="AP96" i="4"/>
  <c r="AU96" i="4" s="1"/>
  <c r="AP92" i="4"/>
  <c r="AU92" i="4" s="1"/>
  <c r="AP93" i="4"/>
  <c r="AU93" i="4" s="1"/>
  <c r="AP76" i="4"/>
  <c r="AU76" i="4" s="1"/>
  <c r="AP97" i="4"/>
  <c r="AU97" i="4" s="1"/>
  <c r="AP81" i="4"/>
  <c r="AU81" i="4" s="1"/>
  <c r="AP73" i="4"/>
  <c r="AU73" i="4" s="1"/>
  <c r="AP47" i="4"/>
  <c r="AU47" i="4" s="1"/>
  <c r="AP65" i="4"/>
  <c r="AU65" i="4" s="1"/>
  <c r="AP94" i="4"/>
  <c r="AU94" i="4" s="1"/>
  <c r="AP84" i="4"/>
  <c r="AU84" i="4" s="1"/>
  <c r="AP57" i="4"/>
  <c r="AU57" i="4" s="1"/>
  <c r="AP59" i="4"/>
  <c r="AU59" i="4" s="1"/>
  <c r="AP64" i="4"/>
  <c r="AU64" i="4" s="1"/>
  <c r="AP80" i="4"/>
  <c r="AU80" i="4" s="1"/>
  <c r="AP75" i="4"/>
  <c r="AU75" i="4" s="1"/>
  <c r="AP69" i="4"/>
  <c r="AU69" i="4" s="1"/>
  <c r="AP44" i="4"/>
  <c r="AU44" i="4" s="1"/>
  <c r="AP72" i="4"/>
  <c r="AU72" i="4" s="1"/>
  <c r="AP56" i="4"/>
  <c r="AU56" i="4" s="1"/>
  <c r="AP83" i="4"/>
  <c r="AU83" i="4" s="1"/>
  <c r="AP51" i="4"/>
  <c r="AU51" i="4" s="1"/>
  <c r="AP98" i="4"/>
  <c r="AU98" i="4" s="1"/>
  <c r="AP85" i="4"/>
  <c r="AU85" i="4" s="1"/>
  <c r="AP49" i="4"/>
  <c r="AU49" i="4" s="1"/>
  <c r="AP77" i="4"/>
  <c r="AU77" i="4" s="1"/>
  <c r="AP61" i="4"/>
  <c r="AU61" i="4" s="1"/>
  <c r="AP95" i="4"/>
  <c r="AU95" i="4" s="1"/>
  <c r="AP55" i="4"/>
  <c r="AU55" i="4" s="1"/>
  <c r="AP66" i="4"/>
  <c r="AU66" i="4" s="1"/>
  <c r="AP82" i="4"/>
  <c r="AU82" i="4" s="1"/>
  <c r="AP67" i="4"/>
  <c r="AU67" i="4" s="1"/>
  <c r="AP70" i="4"/>
  <c r="AU70" i="4" s="1"/>
  <c r="AP53" i="4"/>
  <c r="AU53" i="4" s="1"/>
  <c r="AP91" i="4"/>
  <c r="AU91" i="4" s="1"/>
  <c r="AP71" i="4"/>
  <c r="AU71" i="4" s="1"/>
  <c r="AP62" i="4"/>
  <c r="AU62" i="4" s="1"/>
  <c r="AP89" i="4"/>
  <c r="AU89" i="4" s="1"/>
  <c r="AP86" i="4"/>
  <c r="AU86" i="4" s="1"/>
  <c r="AP50" i="4"/>
  <c r="AU50" i="4" s="1"/>
  <c r="AP78" i="4"/>
  <c r="AU78" i="4" s="1"/>
  <c r="AP100" i="4"/>
  <c r="AU100" i="4" s="1"/>
  <c r="AP52" i="4"/>
  <c r="AU52" i="4" s="1"/>
  <c r="AP79" i="4"/>
  <c r="AU79" i="4" s="1"/>
  <c r="AP90" i="4"/>
  <c r="AU90" i="4" s="1"/>
  <c r="AP63" i="4"/>
  <c r="AU63" i="4" s="1"/>
  <c r="AP54" i="4"/>
  <c r="AU54" i="4" s="1"/>
  <c r="AP99" i="4"/>
  <c r="AU99" i="4" s="1"/>
  <c r="AP46" i="4"/>
  <c r="AU46" i="4" s="1"/>
  <c r="AP68" i="4"/>
  <c r="AU68" i="4" s="1"/>
  <c r="AP58" i="4"/>
  <c r="AU58" i="4" s="1"/>
  <c r="AP42" i="4"/>
  <c r="C66" i="2"/>
  <c r="C7" i="5"/>
  <c r="C68" i="2"/>
  <c r="AU60" i="4"/>
  <c r="AU43" i="4"/>
  <c r="AU105" i="4" l="1"/>
  <c r="AO42" i="4"/>
  <c r="AO43" i="4" s="1"/>
  <c r="AO44" i="4" s="1"/>
  <c r="AO45" i="4" s="1"/>
  <c r="AO46" i="4" s="1"/>
  <c r="AO47" i="4" s="1"/>
  <c r="AO48" i="4" s="1"/>
  <c r="AO49" i="4" s="1"/>
  <c r="AO50" i="4" s="1"/>
  <c r="AO51" i="4" s="1"/>
  <c r="AO52" i="4" s="1"/>
  <c r="AO53" i="4" s="1"/>
  <c r="AO54" i="4" s="1"/>
  <c r="AO55" i="4" s="1"/>
  <c r="AO56" i="4" s="1"/>
  <c r="AO57" i="4" s="1"/>
  <c r="AO58" i="4" s="1"/>
  <c r="AO59" i="4" s="1"/>
  <c r="AO60" i="4" s="1"/>
  <c r="AO61" i="4" s="1"/>
  <c r="AO62" i="4" s="1"/>
  <c r="AO63" i="4" s="1"/>
  <c r="AO64" i="4" s="1"/>
  <c r="AO65" i="4" s="1"/>
  <c r="AO66" i="4" s="1"/>
  <c r="AO67" i="4" s="1"/>
  <c r="AO68" i="4" s="1"/>
  <c r="AO69" i="4" s="1"/>
  <c r="AO70" i="4" s="1"/>
  <c r="AO71" i="4" s="1"/>
  <c r="AO72" i="4" s="1"/>
  <c r="AO73" i="4" s="1"/>
  <c r="AO74" i="4" s="1"/>
  <c r="AO75" i="4" s="1"/>
  <c r="AO76" i="4" s="1"/>
  <c r="AO77" i="4" s="1"/>
  <c r="AO78" i="4" s="1"/>
  <c r="AO79" i="4" s="1"/>
  <c r="AO80" i="4" s="1"/>
  <c r="AO81" i="4" s="1"/>
  <c r="AO82" i="4" s="1"/>
  <c r="AO83" i="4" s="1"/>
  <c r="AO84" i="4" s="1"/>
  <c r="AO85" i="4" s="1"/>
  <c r="AO86" i="4" s="1"/>
  <c r="AO87" i="4" s="1"/>
  <c r="AO88" i="4" s="1"/>
  <c r="AO89" i="4" s="1"/>
  <c r="AO90" i="4" s="1"/>
  <c r="AO91" i="4" s="1"/>
  <c r="AO92" i="4" s="1"/>
  <c r="AO93" i="4" s="1"/>
  <c r="AO94" i="4" s="1"/>
  <c r="AO95" i="4" s="1"/>
  <c r="AO96" i="4" s="1"/>
  <c r="AO97" i="4" s="1"/>
  <c r="AO98" i="4" s="1"/>
  <c r="AO99" i="4" s="1"/>
  <c r="AO100" i="4" s="1"/>
  <c r="AU42" i="4"/>
  <c r="AU104" i="4"/>
  <c r="AU103" i="4"/>
  <c r="E6" i="5"/>
  <c r="F6" i="5" s="1"/>
  <c r="E22" i="5" s="1"/>
  <c r="D26" i="5"/>
  <c r="D7" i="6" s="1"/>
  <c r="D15" i="5"/>
  <c r="D22" i="5"/>
  <c r="D12" i="5"/>
  <c r="D18" i="5"/>
  <c r="D14" i="5"/>
  <c r="D20" i="5"/>
  <c r="D19" i="5"/>
  <c r="D17" i="5"/>
  <c r="D13" i="5"/>
  <c r="D21" i="5"/>
  <c r="D16" i="5"/>
  <c r="D24" i="5"/>
  <c r="Z38" i="4" l="1"/>
  <c r="E24" i="5"/>
  <c r="F24" i="5" s="1"/>
  <c r="E20" i="5"/>
  <c r="F20" i="5" s="1"/>
  <c r="E16" i="5"/>
  <c r="F16" i="5" s="1"/>
  <c r="E19" i="5"/>
  <c r="F19" i="5" s="1"/>
  <c r="E15" i="5"/>
  <c r="F15" i="5" s="1"/>
  <c r="E13" i="5"/>
  <c r="F13" i="5" s="1"/>
  <c r="F22" i="5"/>
  <c r="E18" i="5"/>
  <c r="F18" i="5" s="1"/>
  <c r="E12" i="5"/>
  <c r="F12" i="5" s="1"/>
  <c r="E21" i="5"/>
  <c r="F21" i="5" s="1"/>
  <c r="E17" i="5"/>
  <c r="F17" i="5" s="1"/>
  <c r="E26" i="5"/>
  <c r="D8" i="6" s="1"/>
  <c r="D15" i="6" s="1"/>
  <c r="E14" i="5"/>
  <c r="F14" i="5" s="1"/>
  <c r="AU102" i="4"/>
  <c r="AU101" i="4"/>
  <c r="F26" i="5" l="1"/>
  <c r="D29" i="5"/>
  <c r="D11" i="6"/>
  <c r="D12" i="6" s="1"/>
  <c r="D13" i="6" s="1"/>
  <c r="D14" i="6" l="1"/>
  <c r="D23" i="6" s="1"/>
  <c r="F23" i="6" s="1"/>
  <c r="D30" i="5"/>
  <c r="D33" i="5" s="1"/>
  <c r="D32" i="5"/>
  <c r="D31" i="5"/>
  <c r="D34" i="5"/>
  <c r="C23" i="6"/>
  <c r="D18" i="6" l="1"/>
  <c r="E23" i="6" s="1"/>
  <c r="D3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Bumchan Ahn</author>
  </authors>
  <commentList>
    <comment ref="J13" authorId="0" shapeId="0" xr:uid="{02210D0E-BF1B-A949-B4E1-19B17E7AD47E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Can not use this alpha since the p-value is higher than 0.1</t>
        </r>
      </text>
    </comment>
    <comment ref="K13" authorId="0" shapeId="0" xr:uid="{EB314F0F-C89D-F249-BFFD-0FB669981991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Can not use this alpha since the p-value is higher than 0.1
</t>
        </r>
      </text>
    </comment>
    <comment ref="G14" authorId="0" shapeId="0" xr:uid="{F374F30E-AAB4-994C-A43B-5873015CCD26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Adjust the alpha as the market is too over heated
</t>
        </r>
      </text>
    </comment>
    <comment ref="H14" authorId="0" shapeId="0" xr:uid="{DC6C0CA1-6AFB-004E-8FDE-2FB0C73ACF32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Adjust the alpha as the market is too over heated
</t>
        </r>
      </text>
    </comment>
    <comment ref="I14" authorId="0" shapeId="0" xr:uid="{1D770127-085A-AE43-A646-F950990EC30A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Adjust the alpha as the market is too over heated
</t>
        </r>
      </text>
    </comment>
    <comment ref="J15" authorId="0" shapeId="0" xr:uid="{469D86C5-1309-E441-92C5-167F7CCF1F86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Use this alpha in CAPM when the alpha in the regression is not statistically significant.</t>
        </r>
      </text>
    </comment>
    <comment ref="K15" authorId="0" shapeId="0" xr:uid="{0CC4BC16-5930-EE41-9EAE-46BF968817B5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Use this alpha in CAPM when the alpha in the regression is not statistically significant.
</t>
        </r>
      </text>
    </comment>
    <comment ref="J16" authorId="0" shapeId="0" xr:uid="{3C231A0C-3248-6D4F-B1FA-394976F16C93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Adjust the alpha as the market is too over heated
</t>
        </r>
      </text>
    </comment>
    <comment ref="K16" authorId="0" shapeId="0" xr:uid="{7FBD8CBF-82B0-C74F-8A5E-9F33C15D60AF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imesNewRomanPSMT"/>
          </rPr>
          <t xml:space="preserve">Adjust the alpha as the market is too over heated
</t>
        </r>
      </text>
    </comment>
    <comment ref="B27" authorId="0" shapeId="0" xr:uid="{EDE8E749-D47D-AF4D-B918-C219470FF9C7}">
      <text>
        <r>
          <rPr>
            <b/>
            <sz val="10"/>
            <color rgb="FF000000"/>
            <rFont val="Tahoma"/>
            <family val="2"/>
          </rPr>
          <t>Paul Bumchan Ahn:</t>
        </r>
        <r>
          <rPr>
            <sz val="10"/>
            <color rgb="FF000000"/>
            <rFont val="Tahoma"/>
            <family val="2"/>
          </rPr>
          <t>Historical average P/E of the benchmark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9641AB-DA1A-794F-895D-41BA8C10BD33}" keepAlive="1" name="Query - ABB ADR Stock Price History" description="Connection to the 'ABB ADR Stock Price History' query in the workbook." type="5" refreshedVersion="0" background="1">
    <dbPr connection="Provider=Microsoft.Mashup.OleDb.1;Data Source=$Workbook$;Location=&quot;ABB ADR Stock Price History&quot;;Extended Properties=&quot;&quot;" command="SELECT * FROM [ABB ADR Stock Price History]"/>
  </connection>
  <connection id="2" xr16:uid="{1A33A37D-1E84-EA40-94F6-CCCCE6C6A9C4}" keepAlive="1" name="Query - ACWI ETF Stock Price History" description="Connection to the 'ACWI ETF Stock Price History' query in the workbook." type="5" refreshedVersion="0" background="1">
    <dbPr connection="Provider=Microsoft.Mashup.OleDb.1;Data Source=$Workbook$;Location=&quot;ACWI ETF Stock Price History&quot;;Extended Properties=&quot;&quot;" command="SELECT * FROM [ACWI ETF Stock Price History]"/>
  </connection>
  <connection id="3" xr16:uid="{FFCB1867-E426-B84B-AEEC-AE9D6AC14413}" keepAlive="1" name="Query - Ameren Stock Price History" description="Connection to the 'Ameren Stock Price History' query in the workbook." type="5" refreshedVersion="0" background="1">
    <dbPr connection="Provider=Microsoft.Mashup.OleDb.1;Data Source=$Workbook$;Location=&quot;Ameren Stock Price History&quot;;Extended Properties=&quot;&quot;" command="SELECT * FROM [Ameren Stock Price History]"/>
  </connection>
  <connection id="4" xr16:uid="{7583DBFF-52A3-FE48-8612-AA453E24E7C4}" keepAlive="1" name="Query - American Electric Power Stock Price History" description="Connection to the 'American Electric Power Stock Price History' query in the workbook." type="5" refreshedVersion="0" background="1">
    <dbPr connection="Provider=Microsoft.Mashup.OleDb.1;Data Source=$Workbook$;Location=&quot;American Electric Power Stock Price History&quot;;Extended Properties=&quot;&quot;" command="SELECT * FROM [American Electric Power Stock Price History]"/>
  </connection>
  <connection id="5" xr16:uid="{498B920F-4C8B-054A-ABB2-0A97F5E7B7F8}" keepAlive="1" name="Query - BILS ETF Stock Price History" description="Connection to the 'BILS ETF Stock Price History' query in the workbook." type="5" refreshedVersion="8" background="1" saveData="1">
    <dbPr connection="Provider=Microsoft.Mashup.OleDb.1;Data Source=$Workbook$;Location=&quot;BILS ETF Stock Price History&quot;;Extended Properties=&quot;&quot;" command="SELECT * FROM [BILS ETF Stock Price History]"/>
  </connection>
  <connection id="6" xr16:uid="{AFE19DA1-F60D-1043-9520-F31CB6E54B5A}" keepAlive="1" name="Query - Eaton Stock Price History" description="Connection to the 'Eaton Stock Price History' query in the workbook." type="5" refreshedVersion="0" background="1">
    <dbPr connection="Provider=Microsoft.Mashup.OleDb.1;Data Source=$Workbook$;Location=&quot;Eaton Stock Price History&quot;;Extended Properties=&quot;&quot;" command="SELECT * FROM [Eaton Stock Price History]"/>
  </connection>
  <connection id="7" xr16:uid="{97EC695F-9EF6-E340-B0DF-573331D98025}" keepAlive="1" name="Query - Eaton Stock Price History (2)" description="Connection to the 'Eaton Stock Price History (2)' query in the workbook." type="5" refreshedVersion="0" background="1">
    <dbPr connection="Provider=Microsoft.Mashup.OleDb.1;Data Source=$Workbook$;Location=&quot;Eaton Stock Price History (2)&quot;;Extended Properties=&quot;&quot;" command="SELECT * FROM [Eaton Stock Price History (2)]"/>
  </connection>
  <connection id="8" xr16:uid="{CACAC4BA-564C-824B-8DA2-677C484C6A5B}" keepAlive="1" name="Query - Eaton Stock Price History (3)" description="Connection to the 'Eaton Stock Price History (3)' query in the workbook." type="5" refreshedVersion="0" background="1">
    <dbPr connection="Provider=Microsoft.Mashup.OleDb.1;Data Source=$Workbook$;Location=&quot;Eaton Stock Price History (3)&quot;;Extended Properties=&quot;&quot;" command="SELECT * FROM [Eaton Stock Price History (3)]"/>
  </connection>
  <connection id="9" xr16:uid="{FFBD6391-9B32-B94F-BF84-C35D3DC5036D}" keepAlive="1" name="Query - Eaton Stock Price History (4)" description="Connection to the 'Eaton Stock Price History (4)' query in the workbook." type="5" refreshedVersion="0" background="1">
    <dbPr connection="Provider=Microsoft.Mashup.OleDb.1;Data Source=$Workbook$;Location=&quot;Eaton Stock Price History (4)&quot;;Extended Properties=&quot;&quot;" command="SELECT * FROM [Eaton Stock Price History (4)]"/>
  </connection>
  <connection id="10" xr16:uid="{5D075690-76AA-B94B-A728-4394B3BEF489}" keepAlive="1" name="Query - GRID ETF Stock Price History" description="Connection to the 'GRID ETF Stock Price History' query in the workbook." type="5" refreshedVersion="0" background="1">
    <dbPr connection="Provider=Microsoft.Mashup.OleDb.1;Data Source=$Workbook$;Location=&quot;GRID ETF Stock Price History&quot;;Extended Properties=&quot;&quot;" command="SELECT * FROM [GRID ETF Stock Price History]"/>
  </connection>
  <connection id="11" xr16:uid="{D11096A8-CFB1-564A-BA9E-FB67199D39E8}" keepAlive="1" name="Query - GRID ETF Stock Price History (2)" description="Connection to the 'GRID ETF Stock Price History (2)' query in the workbook." type="5" refreshedVersion="0" background="1">
    <dbPr connection="Provider=Microsoft.Mashup.OleDb.1;Data Source=$Workbook$;Location=&quot;GRID ETF Stock Price History (2)&quot;;Extended Properties=&quot;&quot;" command="SELECT * FROM [GRID ETF Stock Price History (2)]"/>
  </connection>
  <connection id="12" xr16:uid="{E36B784D-F182-B649-9897-770C3E183FCD}" keepAlive="1" name="Query - Hubbell Stock Price History" description="Connection to the 'Hubbell Stock Price History' query in the workbook." type="5" refreshedVersion="0" background="1">
    <dbPr connection="Provider=Microsoft.Mashup.OleDb.1;Data Source=$Workbook$;Location=&quot;Hubbell Stock Price History&quot;;Extended Properties=&quot;&quot;" command="SELECT * FROM [Hubbell Stock Price History]"/>
  </connection>
  <connection id="13" xr16:uid="{B12290E3-331A-8B40-88D6-60C4B2032673}" keepAlive="1" name="Query - Hubbell Stock Price History (2)" description="Connection to the 'Hubbell Stock Price History (2)' query in the workbook." type="5" refreshedVersion="0" background="1">
    <dbPr connection="Provider=Microsoft.Mashup.OleDb.1;Data Source=$Workbook$;Location=&quot;Hubbell Stock Price History (2)&quot;;Extended Properties=&quot;&quot;" command="SELECT * FROM [Hubbell Stock Price History (2)]"/>
  </connection>
  <connection id="14" xr16:uid="{1B0E97E7-9AC6-684C-A040-07EC2BF37E83}" keepAlive="1" name="Query - Itron Stock Price History" description="Connection to the 'Itron Stock Price History' query in the workbook." type="5" refreshedVersion="0" background="1">
    <dbPr connection="Provider=Microsoft.Mashup.OleDb.1;Data Source=$Workbook$;Location=&quot;Itron Stock Price History&quot;;Extended Properties=&quot;&quot;" command="SELECT * FROM [Itron Stock Price History]"/>
  </connection>
  <connection id="15" xr16:uid="{A53EF89B-F6B4-E642-A1FC-1B7BABBEB679}" keepAlive="1" name="Query - IVV ETF Stock Price History" description="Connection to the 'IVV ETF Stock Price History' query in the workbook." type="5" refreshedVersion="8" background="1" saveData="1">
    <dbPr connection="Provider=Microsoft.Mashup.OleDb.1;Data Source=$Workbook$;Location=&quot;IVV ETF Stock Price History&quot;;Extended Properties=&quot;&quot;" command="SELECT * FROM [IVV ETF Stock Price History]"/>
  </connection>
  <connection id="16" xr16:uid="{48BEA568-F7D8-8E4F-9B0B-C08E20B1F232}" keepAlive="1" name="Query - Johnson Controls Stock Price History" description="Connection to the 'Johnson Controls Stock Price History' query in the workbook." type="5" refreshedVersion="0" background="1">
    <dbPr connection="Provider=Microsoft.Mashup.OleDb.1;Data Source=$Workbook$;Location=&quot;Johnson Controls Stock Price History&quot;;Extended Properties=&quot;&quot;" command="SELECT * FROM [Johnson Controls Stock Price History]"/>
  </connection>
  <connection id="17" xr16:uid="{9729FD49-F3B2-EB46-AC19-7F03D7D838C0}" keepAlive="1" name="Query - JPST ETF Stock Price History" description="Connection to the 'JPST ETF Stock Price History' query in the workbook." type="5" refreshedVersion="0" background="1">
    <dbPr connection="Provider=Microsoft.Mashup.OleDb.1;Data Source=$Workbook$;Location=&quot;JPST ETF Stock Price History&quot;;Extended Properties=&quot;&quot;" command="SELECT * FROM [JPST ETF Stock Price History]"/>
  </connection>
  <connection id="18" xr16:uid="{55741160-81EC-A04C-90E9-242244ED1955}" keepAlive="1" name="Query - Mueller Industries Stock Price History" description="Connection to the 'Mueller Industries Stock Price History' query in the workbook." type="5" refreshedVersion="0" background="1">
    <dbPr connection="Provider=Microsoft.Mashup.OleDb.1;Data Source=$Workbook$;Location=&quot;Mueller Industries Stock Price History&quot;;Extended Properties=&quot;&quot;" command="SELECT * FROM [Mueller Industries Stock Price History]"/>
  </connection>
  <connection id="19" xr16:uid="{00C13E59-626D-B244-B211-0F0D435309F7}" keepAlive="1" name="Query - National Grid ADR Stock Price History" description="Connection to the 'National Grid ADR Stock Price History' query in the workbook." type="5" refreshedVersion="0" background="1">
    <dbPr connection="Provider=Microsoft.Mashup.OleDb.1;Data Source=$Workbook$;Location=&quot;National Grid ADR Stock Price History&quot;;Extended Properties=&quot;&quot;" command="SELECT * FROM [National Grid ADR Stock Price History]"/>
  </connection>
  <connection id="20" xr16:uid="{A6C0273A-5910-6B4E-81EF-2FA4CC012E7F}" keepAlive="1" name="Query - NRG Stock Price History" description="Connection to the 'NRG Stock Price History' query in the workbook." type="5" refreshedVersion="0" background="1">
    <dbPr connection="Provider=Microsoft.Mashup.OleDb.1;Data Source=$Workbook$;Location=&quot;NRG Stock Price History&quot;;Extended Properties=&quot;&quot;" command="SELECT * FROM [NRG Stock Price History]"/>
  </connection>
  <connection id="21" xr16:uid="{2F193869-3826-764A-84F0-FE19F19DF7FA}" keepAlive="1" name="Query - nVent Electric Stock Price History" description="Connection to the 'nVent Electric Stock Price History' query in the workbook." type="5" refreshedVersion="0" background="1">
    <dbPr connection="Provider=Microsoft.Mashup.OleDb.1;Data Source=$Workbook$;Location=&quot;nVent Electric Stock Price History&quot;;Extended Properties=&quot;&quot;" command="SELECT * FROM [nVent Electric Stock Price History]"/>
  </connection>
  <connection id="22" xr16:uid="{82CAC91D-E367-4C43-82A3-B7BAFE014EF3}" keepAlive="1" name="Query - nVent Electric Stock Price History (2)" description="Connection to the 'nVent Electric Stock Price History (2)' query in the workbook." type="5" refreshedVersion="0" background="1">
    <dbPr connection="Provider=Microsoft.Mashup.OleDb.1;Data Source=$Workbook$;Location=&quot;nVent Electric Stock Price History (2)&quot;;Extended Properties=&quot;&quot;" command="SELECT * FROM [nVent Electric Stock Price History (2)]"/>
  </connection>
  <connection id="23" xr16:uid="{B6C81347-E8DE-0A43-97E6-CBB9C2D0BA87}" keepAlive="1" name="Query - Powell Industries Stock Price History" description="Connection to the 'Powell Industries Stock Price History' query in the workbook." type="5" refreshedVersion="8" background="1" saveData="1">
    <dbPr connection="Provider=Microsoft.Mashup.OleDb.1;Data Source=$Workbook$;Location=&quot;Powell Industries Stock Price History&quot;;Extended Properties=&quot;&quot;" command="SELECT * FROM [Powell Industries Stock Price History]"/>
  </connection>
  <connection id="24" xr16:uid="{6026ADB3-DE95-AE45-B004-E7C60C093EBE}" keepAlive="1" name="Query - Prysmian ADR Stock Price History" description="Connection to the 'Prysmian ADR Stock Price History' query in the workbook." type="5" refreshedVersion="0" background="1">
    <dbPr connection="Provider=Microsoft.Mashup.OleDb.1;Data Source=$Workbook$;Location=&quot;Prysmian ADR Stock Price History&quot;;Extended Properties=&quot;&quot;" command="SELECT * FROM [Prysmian ADR Stock Price History]"/>
  </connection>
  <connection id="25" xr16:uid="{AC61341F-06A8-554D-9656-19978D70EEA6}" keepAlive="1" name="Query - Prysmian ADR Stock Price History (2)" description="Connection to the 'Prysmian ADR Stock Price History (2)' query in the workbook." type="5" refreshedVersion="8" background="1" saveData="1">
    <dbPr connection="Provider=Microsoft.Mashup.OleDb.1;Data Source=$Workbook$;Location=&quot;Prysmian ADR Stock Price History (2)&quot;;Extended Properties=&quot;&quot;" command="SELECT * FROM [Prysmian ADR Stock Price History (2)]"/>
  </connection>
  <connection id="26" xr16:uid="{CDF77120-570E-0A4C-AAF7-E8015AB36219}" keepAlive="1" name="Query - Quanta Services Stock Price History" description="Connection to the 'Quanta Services Stock Price History' query in the workbook." type="5" refreshedVersion="8" background="1" saveData="1">
    <dbPr connection="Provider=Microsoft.Mashup.OleDb.1;Data Source=$Workbook$;Location=&quot;Quanta Services Stock Price History&quot;;Extended Properties=&quot;&quot;" command="SELECT * FROM [Quanta Services Stock Price History]"/>
  </connection>
  <connection id="27" xr16:uid="{90181996-CAD6-DE43-B6BD-6A2A92D7AF88}" keepAlive="1" name="Query - Quanta Services Stock Price History (2)" description="Connection to the 'Quanta Services Stock Price History (2)' query in the workbook." type="5" refreshedVersion="0" background="1">
    <dbPr connection="Provider=Microsoft.Mashup.OleDb.1;Data Source=$Workbook$;Location=&quot;Quanta Services Stock Price History (2)&quot;;Extended Properties=&quot;&quot;" command="SELECT * FROM [Quanta Services Stock Price History (2)]"/>
  </connection>
  <connection id="28" xr16:uid="{E417DED5-6D24-BF48-9DE5-B88E5C49C5EF}" keepAlive="1" name="Query - Quanta Services Stock Price History (3)" description="Connection to the 'Quanta Services Stock Price History (3)' query in the workbook." type="5" refreshedVersion="0" background="1">
    <dbPr connection="Provider=Microsoft.Mashup.OleDb.1;Data Source=$Workbook$;Location=&quot;Quanta Services Stock Price History (3)&quot;;Extended Properties=&quot;&quot;" command="SELECT * FROM [Quanta Services Stock Price History (3)]"/>
  </connection>
  <connection id="29" xr16:uid="{D3CEA680-DAF8-3243-85E4-7797D1C90E4C}" keepAlive="1" name="Query - Schneider Electric SA Stock Price History" description="Connection to the 'Schneider Electric SA Stock Price History' query in the workbook." type="5" refreshedVersion="0" background="1">
    <dbPr connection="Provider=Microsoft.Mashup.OleDb.1;Data Source=$Workbook$;Location=&quot;Schneider Electric SA Stock Price History&quot;;Extended Properties=&quot;&quot;" command="SELECT * FROM [Schneider Electric SA Stock Price History]"/>
  </connection>
  <connection id="30" xr16:uid="{26550845-4CC5-5549-B0EA-BEA180B0026C}" keepAlive="1" name="Query - Schneider Electric SA Stock Price History (2)" description="Connection to the 'Schneider Electric SA Stock Price History (2)' query in the workbook." type="5" refreshedVersion="0" background="1">
    <dbPr connection="Provider=Microsoft.Mashup.OleDb.1;Data Source=$Workbook$;Location=&quot;Schneider Electric SA Stock Price History (2)&quot;;Extended Properties=&quot;&quot;" command="SELECT * FROM [Schneider Electric SA Stock Price History (2)]"/>
  </connection>
  <connection id="31" xr16:uid="{1727FE01-B2D6-B64E-8CD8-50A59C7D97AD}" keepAlive="1" name="Query - Sempra Energy Stock Price History" description="Connection to the 'Sempra Energy Stock Price History' query in the workbook." type="5" refreshedVersion="0" background="1">
    <dbPr connection="Provider=Microsoft.Mashup.OleDb.1;Data Source=$Workbook$;Location=&quot;Sempra Energy Stock Price History&quot;;Extended Properties=&quot;&quot;" command="SELECT * FROM [Sempra Energy Stock Price History]"/>
  </connection>
  <connection id="32" xr16:uid="{5361014A-CF60-EC4A-ABD9-49A4B8138042}" keepAlive="1" name="Query - TLT ETF Stock Price History" description="Connection to the 'TLT ETF Stock Price History' query in the workbook." type="5" refreshedVersion="0" background="1">
    <dbPr connection="Provider=Microsoft.Mashup.OleDb.1;Data Source=$Workbook$;Location=&quot;TLT ETF Stock Price History&quot;;Extended Properties=&quot;&quot;" command="SELECT * FROM [TLT ETF Stock Price History]"/>
  </connection>
  <connection id="33" xr16:uid="{4FBA62A6-4C9A-A847-A687-78518B909E09}" keepAlive="1" name="Query - UTES ETF Stock Price History" description="Connection to the 'UTES ETF Stock Price History' query in the workbook." type="5" refreshedVersion="0" background="1">
    <dbPr connection="Provider=Microsoft.Mashup.OleDb.1;Data Source=$Workbook$;Location=&quot;UTES ETF Stock Price History&quot;;Extended Properties=&quot;&quot;" command="SELECT * FROM [UTES ETF Stock Price History]"/>
  </connection>
  <connection id="34" xr16:uid="{784AA09A-5B37-2144-AE95-5493A223268D}" keepAlive="1" name="Query - UTES ETF Stock Price History-2" description="Connection to the 'UTES ETF Stock Price History-2' query in the workbook." type="5" refreshedVersion="0" background="1">
    <dbPr connection="Provider=Microsoft.Mashup.OleDb.1;Data Source=$Workbook$;Location=&quot;UTES ETF Stock Price History-2&quot;;Extended Properties=&quot;&quot;" command="SELECT * FROM [UTES ETF Stock Price History-2]"/>
  </connection>
  <connection id="35" xr16:uid="{4CD7EC50-093F-EF4A-A58F-FDCCED0884F5}" keepAlive="1" name="Query - Vistra Energy Stock Price History" description="Connection to the 'Vistra Energy Stock Price History' query in the workbook." type="5" refreshedVersion="0" background="1">
    <dbPr connection="Provider=Microsoft.Mashup.OleDb.1;Data Source=$Workbook$;Location=&quot;Vistra Energy Stock Price History&quot;;Extended Properties=&quot;&quot;" command="SELECT * FROM [Vistra Energy Stock Price History]"/>
  </connection>
  <connection id="36" xr16:uid="{36B1E5D9-895E-5447-AF67-3B8FC4A71C34}" keepAlive="1" name="Query - WEC Energy Stock Price History" description="Connection to the 'WEC Energy Stock Price History' query in the workbook." type="5" refreshedVersion="0" background="1">
    <dbPr connection="Provider=Microsoft.Mashup.OleDb.1;Data Source=$Workbook$;Location=&quot;WEC Energy Stock Price History&quot;;Extended Properties=&quot;&quot;" command="SELECT * FROM [WEC Energy Stock Price History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<sst xmlns="http://schemas.openxmlformats.org/spreadsheetml/2006/main" count="1067" uniqueCount="656">
  <si>
    <t>Panel A. Risk Parameters of Pf A (annualized)</t>
  </si>
  <si>
    <t>Beta</t>
  </si>
  <si>
    <t>SD of Excess Return</t>
  </si>
  <si>
    <t>SD of Residual (e), Firm specific Component</t>
  </si>
  <si>
    <t>SD of Systematic Component</t>
  </si>
  <si>
    <t>Correlation with the Market Index</t>
  </si>
  <si>
    <t>Panel B. Correlation Matrix</t>
  </si>
  <si>
    <t>Panel C. The Index Model Covariance Matrix</t>
  </si>
  <si>
    <t>Panel D. Correlation of Residuals in Pf A</t>
  </si>
  <si>
    <t>Panel F. Active Portfolio</t>
  </si>
  <si>
    <t xml:space="preserve">Active Pf </t>
  </si>
  <si>
    <t>Residual Variance of each security</t>
  </si>
  <si>
    <t>Initial position of each security</t>
  </si>
  <si>
    <t>Scaled initial position of each security</t>
  </si>
  <si>
    <t>Squared scaled initial position of each security</t>
  </si>
  <si>
    <t>Alpha of the Active Pf</t>
  </si>
  <si>
    <t>Residual Variance of Active Pf</t>
  </si>
  <si>
    <t>Active Pf information ratio (APIR)</t>
  </si>
  <si>
    <t>Index Pf information ratio (IPIR)</t>
  </si>
  <si>
    <t>Initial position in Active Pf (APIR/IPIR)</t>
  </si>
  <si>
    <t>Beta of the Active Pf</t>
  </si>
  <si>
    <t>Panel G. Optimal Risky Portfolios</t>
  </si>
  <si>
    <t>Overall Risky Pf</t>
  </si>
  <si>
    <t>Risk Premium</t>
  </si>
  <si>
    <t>Standard Deviation</t>
  </si>
  <si>
    <t>Sharpe Ratio</t>
  </si>
  <si>
    <t>Data. Security Index Model</t>
  </si>
  <si>
    <t>Panel 1. Risk &amp; Return Parameters in the Security Index Model</t>
  </si>
  <si>
    <t>Panel 2. Correlation and Covariance Matrixs in the Security Index Model</t>
  </si>
  <si>
    <t>Estimates annualized</t>
  </si>
  <si>
    <t>T-bill</t>
  </si>
  <si>
    <t>SPDR</t>
  </si>
  <si>
    <t>Correl (via Index)</t>
  </si>
  <si>
    <t>Covariance (via Index)</t>
  </si>
  <si>
    <t>SD of Residuals (e)</t>
  </si>
  <si>
    <t>SD of Systematic component</t>
  </si>
  <si>
    <t>Covariance</t>
  </si>
  <si>
    <t xml:space="preserve">Beta </t>
  </si>
  <si>
    <t>Correlation with Index</t>
  </si>
  <si>
    <t>R Squared (Market Determination)</t>
  </si>
  <si>
    <t>1-R Squared (Firms Specific)</t>
  </si>
  <si>
    <t>Correl of Residuals</t>
  </si>
  <si>
    <t>EPS (TTM)</t>
  </si>
  <si>
    <t>PE Ratio (TTM)</t>
  </si>
  <si>
    <t>1y Forward Dividend ($)</t>
  </si>
  <si>
    <t>1y Forward Dividend Yield (%)</t>
  </si>
  <si>
    <t>Panel 3. Price information. monthly rate of return and excess returns</t>
  </si>
  <si>
    <t>60 months</t>
  </si>
  <si>
    <t>Dates</t>
  </si>
  <si>
    <t>Prices</t>
  </si>
  <si>
    <t>Monthly
rate</t>
  </si>
  <si>
    <t>Exces 
return</t>
  </si>
  <si>
    <t>Mkt Prem. Systematic component</t>
  </si>
  <si>
    <t>Residuals. Unsystematic component</t>
  </si>
  <si>
    <t>Asset Classes Allocation Analysis: Optimal Complete Pf Model</t>
  </si>
  <si>
    <t>Capital Allocation &gt; Asset Classes Allocation &gt; Security Selection</t>
  </si>
  <si>
    <t>Securities</t>
  </si>
  <si>
    <t>Expected Return</t>
  </si>
  <si>
    <t>Corr. Coefficient B,E</t>
  </si>
  <si>
    <t>Covariance B,E</t>
  </si>
  <si>
    <t>T-Bill</t>
  </si>
  <si>
    <t>Risky Asset Portfolio: Weights</t>
  </si>
  <si>
    <t>Reward to Variability</t>
  </si>
  <si>
    <t>Bond weight</t>
  </si>
  <si>
    <t>Equity weight</t>
  </si>
  <si>
    <t>(Sharpe ratio)</t>
  </si>
  <si>
    <t>short-not allowed</t>
  </si>
  <si>
    <t>B. Optimal Risky Portfolio. Maximum of Sharpe ratio</t>
  </si>
  <si>
    <t>Max. of Sharpe Ratio</t>
  </si>
  <si>
    <t>Weight y: Optimal Risky Portfolio</t>
  </si>
  <si>
    <t>Weight (1-y): Risk-Free Asset</t>
  </si>
  <si>
    <t>Bond weight in the Optimal Complete Pf</t>
  </si>
  <si>
    <t>Equity weight in the Optimal Complete Pf</t>
  </si>
  <si>
    <t>E(rc): expected return of the Complete pf</t>
  </si>
  <si>
    <t>𝜎 c: SD of Complete pf</t>
  </si>
  <si>
    <t>Sharpe Ratio (Max. Slope of CAL)</t>
  </si>
  <si>
    <t xml:space="preserve"> </t>
  </si>
  <si>
    <t>Risky Pf (P) only</t>
  </si>
  <si>
    <t>rf: rate of return of risk-free asset</t>
  </si>
  <si>
    <t>E(Rp): expected return of risky pf</t>
  </si>
  <si>
    <r>
      <rPr>
        <b/>
        <sz val="12"/>
        <rFont val="Times New Roman"/>
        <family val="1"/>
      </rPr>
      <t>𝜎 p</t>
    </r>
    <r>
      <rPr>
        <sz val="12"/>
        <rFont val="Times New Roman"/>
        <family val="1"/>
      </rPr>
      <t>: SD of risky pf</t>
    </r>
  </si>
  <si>
    <t>Complete Pf (C). Risk free + Risky Pf</t>
  </si>
  <si>
    <t>y: weight of risky pf</t>
  </si>
  <si>
    <t>1-y: weight of risk free asset</t>
  </si>
  <si>
    <t>Equity Pf (E)</t>
  </si>
  <si>
    <t>Bond Pf (B)</t>
  </si>
  <si>
    <t>Equity Pf</t>
  </si>
  <si>
    <t>Active Pf Weights* (Index model)</t>
  </si>
  <si>
    <t xml:space="preserve">Risk Tolerance Score </t>
  </si>
  <si>
    <t xml:space="preserve">Utility at the risk aversion level </t>
  </si>
  <si>
    <t>C. Optimal Complete Portfolio with U w/ Risk-Free Asset</t>
  </si>
  <si>
    <t>Risk Aversion Index (A: 1~20)*</t>
  </si>
  <si>
    <t xml:space="preserve">Expected excess return </t>
  </si>
  <si>
    <t>Alpha (Non-market risk premium in the index model)</t>
  </si>
  <si>
    <r>
      <t>s</t>
    </r>
    <r>
      <rPr>
        <vertAlign val="superscript"/>
        <sz val="12"/>
        <rFont val="Verdana"/>
        <family val="2"/>
      </rPr>
      <t>2</t>
    </r>
    <r>
      <rPr>
        <sz val="12"/>
        <rFont val="Verdana"/>
        <family val="2"/>
      </rPr>
      <t>(</t>
    </r>
    <r>
      <rPr>
        <i/>
        <sz val="12"/>
        <rFont val="Aptos Narrow"/>
        <family val="2"/>
        <scheme val="minor"/>
      </rPr>
      <t>e</t>
    </r>
    <r>
      <rPr>
        <sz val="12"/>
        <rFont val="Verdana"/>
        <family val="2"/>
      </rPr>
      <t>)</t>
    </r>
  </si>
  <si>
    <r>
      <rPr>
        <i/>
        <sz val="12"/>
        <rFont val="Aptos Narrow"/>
        <family val="2"/>
        <scheme val="minor"/>
      </rPr>
      <t>w</t>
    </r>
    <r>
      <rPr>
        <i/>
        <vertAlign val="subscript"/>
        <sz val="12"/>
        <rFont val="Aptos Narrow"/>
        <family val="2"/>
        <scheme val="minor"/>
      </rPr>
      <t>i</t>
    </r>
    <r>
      <rPr>
        <sz val="12"/>
        <rFont val="Symbol"/>
        <family val="1"/>
        <charset val="2"/>
      </rPr>
      <t>(</t>
    </r>
    <r>
      <rPr>
        <sz val="12"/>
        <rFont val="Aptos Narrow"/>
        <family val="2"/>
        <scheme val="minor"/>
      </rPr>
      <t>0</t>
    </r>
    <r>
      <rPr>
        <sz val="12"/>
        <rFont val="Symbol"/>
        <family val="1"/>
        <charset val="2"/>
      </rPr>
      <t>) = a</t>
    </r>
    <r>
      <rPr>
        <i/>
        <vertAlign val="subscript"/>
        <sz val="12"/>
        <rFont val="Aptos Narrow"/>
        <family val="2"/>
        <scheme val="minor"/>
      </rPr>
      <t>i</t>
    </r>
    <r>
      <rPr>
        <sz val="12"/>
        <rFont val="Symbol"/>
        <family val="1"/>
        <charset val="2"/>
      </rPr>
      <t>/s</t>
    </r>
    <r>
      <rPr>
        <vertAlign val="superscript"/>
        <sz val="12"/>
        <rFont val="Symbol"/>
        <family val="1"/>
        <charset val="2"/>
      </rPr>
      <t>2</t>
    </r>
    <r>
      <rPr>
        <sz val="12"/>
        <rFont val="Symbol"/>
        <family val="1"/>
        <charset val="2"/>
      </rPr>
      <t>(</t>
    </r>
    <r>
      <rPr>
        <i/>
        <sz val="12"/>
        <rFont val="Aptos Narrow"/>
        <family val="2"/>
        <scheme val="minor"/>
      </rPr>
      <t>e</t>
    </r>
    <r>
      <rPr>
        <sz val="12"/>
        <rFont val="Symbol"/>
        <family val="1"/>
        <charset val="2"/>
      </rPr>
      <t>)</t>
    </r>
  </si>
  <si>
    <r>
      <t>w</t>
    </r>
    <r>
      <rPr>
        <i/>
        <vertAlign val="subscript"/>
        <sz val="12"/>
        <rFont val="Aptos Narrow"/>
        <family val="2"/>
        <scheme val="minor"/>
      </rPr>
      <t>i</t>
    </r>
  </si>
  <si>
    <r>
      <t>[</t>
    </r>
    <r>
      <rPr>
        <i/>
        <sz val="12"/>
        <rFont val="Aptos Narrow"/>
        <family val="2"/>
        <scheme val="minor"/>
      </rPr>
      <t>w</t>
    </r>
    <r>
      <rPr>
        <i/>
        <vertAlign val="subscript"/>
        <sz val="12"/>
        <rFont val="Aptos Narrow"/>
        <family val="2"/>
        <scheme val="minor"/>
      </rPr>
      <t>i</t>
    </r>
    <r>
      <rPr>
        <sz val="12"/>
        <rFont val="Aptos Narrow"/>
        <family val="2"/>
        <scheme val="minor"/>
      </rPr>
      <t>(0)]</t>
    </r>
    <r>
      <rPr>
        <vertAlign val="superscript"/>
        <sz val="12"/>
        <rFont val="Aptos Narrow"/>
        <family val="2"/>
        <scheme val="minor"/>
      </rPr>
      <t>2</t>
    </r>
  </si>
  <si>
    <r>
      <t>a</t>
    </r>
    <r>
      <rPr>
        <i/>
        <vertAlign val="subscript"/>
        <sz val="12"/>
        <rFont val="Aptos Narrow"/>
        <family val="2"/>
        <scheme val="minor"/>
      </rPr>
      <t>A</t>
    </r>
    <r>
      <rPr>
        <sz val="12"/>
        <rFont val="Symbol"/>
        <family val="1"/>
        <charset val="2"/>
      </rPr>
      <t xml:space="preserve"> </t>
    </r>
  </si>
  <si>
    <r>
      <t>s</t>
    </r>
    <r>
      <rPr>
        <vertAlign val="superscript"/>
        <sz val="12"/>
        <rFont val="Symbol"/>
        <family val="1"/>
        <charset val="2"/>
      </rPr>
      <t>2</t>
    </r>
    <r>
      <rPr>
        <sz val="12"/>
        <rFont val="Verdana"/>
        <family val="2"/>
      </rPr>
      <t>(</t>
    </r>
    <r>
      <rPr>
        <i/>
        <sz val="12"/>
        <rFont val="Aptos Narrow"/>
        <family val="2"/>
        <scheme val="minor"/>
      </rPr>
      <t>e</t>
    </r>
    <r>
      <rPr>
        <i/>
        <vertAlign val="subscript"/>
        <sz val="12"/>
        <rFont val="Verdana"/>
        <family val="2"/>
      </rPr>
      <t>A</t>
    </r>
    <r>
      <rPr>
        <sz val="12"/>
        <rFont val="Verdana"/>
        <family val="2"/>
      </rPr>
      <t>)</t>
    </r>
  </si>
  <si>
    <r>
      <t>a</t>
    </r>
    <r>
      <rPr>
        <sz val="9"/>
        <rFont val="Symbol"/>
        <charset val="2"/>
      </rPr>
      <t>A</t>
    </r>
    <r>
      <rPr>
        <sz val="12"/>
        <rFont val="Symbol"/>
        <family val="1"/>
        <charset val="2"/>
      </rPr>
      <t xml:space="preserve">  / s</t>
    </r>
    <r>
      <rPr>
        <vertAlign val="superscript"/>
        <sz val="12"/>
        <rFont val="Symbol"/>
        <family val="1"/>
        <charset val="2"/>
      </rPr>
      <t>2</t>
    </r>
    <r>
      <rPr>
        <sz val="12"/>
        <rFont val="Verdana"/>
        <family val="2"/>
      </rPr>
      <t>(</t>
    </r>
    <r>
      <rPr>
        <i/>
        <sz val="12"/>
        <rFont val="Aptos Narrow"/>
        <family val="2"/>
        <scheme val="minor"/>
      </rPr>
      <t>e</t>
    </r>
    <r>
      <rPr>
        <i/>
        <vertAlign val="subscript"/>
        <sz val="12"/>
        <rFont val="Verdana"/>
        <family val="2"/>
      </rPr>
      <t>A</t>
    </r>
    <r>
      <rPr>
        <sz val="12"/>
        <rFont val="Verdana"/>
        <family val="2"/>
      </rPr>
      <t>)</t>
    </r>
  </si>
  <si>
    <r>
      <t>E(R</t>
    </r>
    <r>
      <rPr>
        <i/>
        <vertAlign val="subscript"/>
        <sz val="12"/>
        <color theme="1"/>
        <rFont val="Aptos Narrow"/>
        <family val="2"/>
        <scheme val="minor"/>
      </rPr>
      <t>M</t>
    </r>
    <r>
      <rPr>
        <i/>
        <sz val="12"/>
        <color theme="1"/>
        <rFont val="Aptos Narrow"/>
        <family val="2"/>
        <scheme val="minor"/>
      </rPr>
      <t>)</t>
    </r>
    <r>
      <rPr>
        <sz val="12"/>
        <color theme="1"/>
        <rFont val="TimesNewRomanPSMT"/>
        <family val="2"/>
      </rPr>
      <t>/</t>
    </r>
    <r>
      <rPr>
        <sz val="12"/>
        <color theme="1"/>
        <rFont val="Symbol"/>
        <family val="1"/>
        <charset val="2"/>
      </rPr>
      <t>s</t>
    </r>
    <r>
      <rPr>
        <i/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TimesNewRomanPSMT"/>
        <family val="2"/>
      </rPr>
      <t>(</t>
    </r>
    <r>
      <rPr>
        <i/>
        <sz val="12"/>
        <color theme="1"/>
        <rFont val="Aptos Narrow"/>
        <family val="2"/>
        <scheme val="minor"/>
      </rPr>
      <t>M</t>
    </r>
    <r>
      <rPr>
        <sz val="12"/>
        <color theme="1"/>
        <rFont val="TimesNewRomanPSMT"/>
        <family val="2"/>
      </rPr>
      <t>)</t>
    </r>
  </si>
  <si>
    <r>
      <rPr>
        <i/>
        <sz val="12"/>
        <rFont val="Times New Roman"/>
        <family val="1"/>
      </rPr>
      <t>w</t>
    </r>
    <r>
      <rPr>
        <i/>
        <vertAlign val="subscript"/>
        <sz val="12"/>
        <rFont val="Times New Roman"/>
        <family val="1"/>
      </rPr>
      <t>A</t>
    </r>
    <r>
      <rPr>
        <sz val="12"/>
        <rFont val="Times New Roman"/>
        <family val="1"/>
      </rPr>
      <t>(0)</t>
    </r>
  </si>
  <si>
    <r>
      <t>b</t>
    </r>
    <r>
      <rPr>
        <i/>
        <vertAlign val="subscript"/>
        <sz val="12"/>
        <rFont val="Aptos Narrow"/>
        <family val="2"/>
        <scheme val="minor"/>
      </rPr>
      <t>A</t>
    </r>
  </si>
  <si>
    <t>w*(Optimal Pf): Short not allowed</t>
  </si>
  <si>
    <t>Min. Standard Deviation</t>
  </si>
  <si>
    <t>E(rc): expected return of the Overall Complete pf</t>
  </si>
  <si>
    <t>𝜎 c: SD of Overall Complete pf</t>
  </si>
  <si>
    <t>Adjusted Alpha</t>
  </si>
  <si>
    <t xml:space="preserve">Adjusted Market risk premium =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</si>
  <si>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</si>
  <si>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</si>
  <si>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</si>
  <si>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</si>
  <si>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</si>
  <si>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</si>
  <si>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</si>
  <si>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</si>
  <si>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</si>
  <si>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</si>
  <si>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</si>
  <si>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</si>
  <si>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</si>
  <si>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</si>
  <si>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</si>
  <si>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</si>
  <si>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Coefficients</t>
  </si>
  <si>
    <t>t Stat</t>
  </si>
  <si>
    <t>P-value</t>
  </si>
  <si>
    <t>X Variable 1</t>
  </si>
  <si>
    <t>Alpha in CAPM (10 yrs market premium)</t>
  </si>
  <si>
    <r>
      <t xml:space="preserve">Total Equity Risk Premium </t>
    </r>
    <r>
      <rPr>
        <b/>
        <i/>
        <sz val="12"/>
        <color theme="1"/>
        <rFont val="Times New Roman"/>
        <family val="1"/>
      </rPr>
      <t>E(R)</t>
    </r>
  </si>
  <si>
    <t>Adjusted Alpha (a x avg. Market PE / Stock PE)</t>
  </si>
  <si>
    <t>Adjusted Alpha in CAPM  (a x avg. Market PE / Stock PE)</t>
  </si>
  <si>
    <t>E(rc) on CAL</t>
  </si>
  <si>
    <t>𝜎 c</t>
  </si>
  <si>
    <t>E(rc) on Indiff.</t>
  </si>
  <si>
    <t>W of risky pf: y</t>
  </si>
  <si>
    <t>Utiliity</t>
  </si>
  <si>
    <t>Max. U</t>
  </si>
  <si>
    <t>Slope: Capital Allocation Line ( Sharpe)</t>
  </si>
  <si>
    <t xml:space="preserve">A. Minimum Variance Portfolio of Risky Assets </t>
  </si>
  <si>
    <t>Benchmark
 Exces 
return</t>
  </si>
  <si>
    <t>Adjusted Price of Equity Pf
(Back data)</t>
  </si>
  <si>
    <t>Active Pf Exces 
return 
(Back data)</t>
  </si>
  <si>
    <t>Efficient Frontier meets CAL with Optimal Risky Pf</t>
  </si>
  <si>
    <t>1y Target return `</t>
  </si>
  <si>
    <t>1y Target Est. (Consensus)</t>
  </si>
  <si>
    <t>Small / Medium / Large</t>
  </si>
  <si>
    <t>Value / Blend / Growth</t>
  </si>
  <si>
    <t>Tech</t>
  </si>
  <si>
    <t>Growth</t>
  </si>
  <si>
    <t>Large</t>
  </si>
  <si>
    <t>Large Growth</t>
  </si>
  <si>
    <t>Stock Info.</t>
  </si>
  <si>
    <t>Pf Style.</t>
  </si>
  <si>
    <t>Sector (industry)</t>
  </si>
  <si>
    <t>Themes</t>
  </si>
  <si>
    <t>Credit (Investment / High Yield)</t>
  </si>
  <si>
    <t>Duration (longer / shorter)</t>
  </si>
  <si>
    <t>Issuers (Corporate / Government)</t>
  </si>
  <si>
    <t>Inflation / close-ended / sector…</t>
  </si>
  <si>
    <t>Maturity</t>
  </si>
  <si>
    <t>Coupon ($100 par)</t>
  </si>
  <si>
    <t>Yield to maturity</t>
  </si>
  <si>
    <t>Coupon (frequency)</t>
  </si>
  <si>
    <t xml:space="preserve">Convexity (C) </t>
  </si>
  <si>
    <t>Current Bond Price</t>
  </si>
  <si>
    <t>Modified Duration (D*)</t>
  </si>
  <si>
    <t>Changes in YTM</t>
  </si>
  <si>
    <t>with D* only</t>
  </si>
  <si>
    <t>Bond Price change</t>
  </si>
  <si>
    <t xml:space="preserve">with D* and Convexity </t>
  </si>
  <si>
    <t>YTM down 100bps</t>
  </si>
  <si>
    <t>Selectivity (%)</t>
  </si>
  <si>
    <t>Diversification Effect (%)</t>
  </si>
  <si>
    <t>Net Selectivity (%)</t>
  </si>
  <si>
    <t>net Risk Premium of Pf</t>
  </si>
  <si>
    <t xml:space="preserve">Overall Performance </t>
  </si>
  <si>
    <t xml:space="preserve">CAPM </t>
  </si>
  <si>
    <t>Ratio of total risk (𝜎p/𝜎m)</t>
  </si>
  <si>
    <t>CML</t>
  </si>
  <si>
    <t>Performance Measures</t>
  </si>
  <si>
    <t xml:space="preserve">Panel E. Macro Forecast and Alpha Forecasts </t>
  </si>
  <si>
    <r>
      <t>Treynor Measure (</t>
    </r>
    <r>
      <rPr>
        <b/>
        <i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)</t>
    </r>
  </si>
  <si>
    <r>
      <t>Jensen Measure (</t>
    </r>
    <r>
      <rPr>
        <b/>
        <i/>
        <sz val="12"/>
        <color theme="1"/>
        <rFont val="Times New Roman"/>
        <family val="1"/>
      </rPr>
      <t>a</t>
    </r>
    <r>
      <rPr>
        <b/>
        <sz val="12"/>
        <color theme="1"/>
        <rFont val="Times New Roman"/>
        <family val="1"/>
      </rPr>
      <t>)</t>
    </r>
  </si>
  <si>
    <r>
      <t>Information Ratio Measure (</t>
    </r>
    <r>
      <rPr>
        <b/>
        <i/>
        <sz val="12"/>
        <color theme="1"/>
        <rFont val="Times New Roman"/>
        <family val="1"/>
      </rPr>
      <t>IR</t>
    </r>
    <r>
      <rPr>
        <b/>
        <sz val="12"/>
        <color theme="1"/>
        <rFont val="Times New Roman"/>
        <family val="1"/>
      </rPr>
      <t>)</t>
    </r>
  </si>
  <si>
    <r>
      <t>Sharpe Ratio (</t>
    </r>
    <r>
      <rPr>
        <b/>
        <i/>
        <sz val="12"/>
        <color theme="1"/>
        <rFont val="Times New Roman"/>
        <family val="1"/>
      </rPr>
      <t>S</t>
    </r>
    <r>
      <rPr>
        <b/>
        <sz val="12"/>
        <color theme="1"/>
        <rFont val="Times New Roman"/>
        <family val="1"/>
      </rPr>
      <t>)</t>
    </r>
  </si>
  <si>
    <t>*Bear (1~5), Normal (1~10), Bull (1~20), Bubble (1~30)</t>
  </si>
  <si>
    <t>Benchmark Check</t>
  </si>
  <si>
    <t>Active Pf Excess Retun - Benchmark (Back Data)</t>
  </si>
  <si>
    <t>Tracking Error</t>
  </si>
  <si>
    <t>SD of TE</t>
  </si>
  <si>
    <t>Correlation</t>
  </si>
  <si>
    <t>R^2</t>
  </si>
  <si>
    <t>Slope (B)</t>
  </si>
  <si>
    <t>GRID</t>
  </si>
  <si>
    <t>Quanta Services Inc (PWR)</t>
  </si>
  <si>
    <t>PWR</t>
  </si>
  <si>
    <t>Schneider Electric SA (SBGSY)</t>
  </si>
  <si>
    <t>SBGSY</t>
  </si>
  <si>
    <t>Industrials</t>
  </si>
  <si>
    <t>Current Stock Price (as of April 15th)</t>
  </si>
  <si>
    <t xml:space="preserve">Index Portfolio Model. GRID + Active Portfolio (Large Growth) </t>
  </si>
  <si>
    <t>American Electric Power Co. (AEP)</t>
  </si>
  <si>
    <t>AEP</t>
  </si>
  <si>
    <t>Utilities</t>
  </si>
  <si>
    <t>Energy</t>
  </si>
  <si>
    <t>Capital Allocation. Optimal Captial Allocation using Maximum Utility</t>
  </si>
  <si>
    <t>ETN</t>
  </si>
  <si>
    <t>Eaton Corporation PLC (ETN)</t>
  </si>
  <si>
    <t>TLT</t>
  </si>
  <si>
    <t>Bond Pf (TLT)</t>
  </si>
  <si>
    <t>BlackRock, Inc. (2026, April 15). iShares 20+ Year Treasury Bond ETF | TLT: Portfolio characteristics. BlackRock iShares. https://www.blackrock.com/us/financial-professionals/products/239454/ishares-20-year-treasury-bond-etf</t>
  </si>
  <si>
    <t>Calculate the approximate price change for a TLT using only its D* and using D* and Convexity</t>
  </si>
  <si>
    <t>TLT has the following characteristics:</t>
  </si>
  <si>
    <t>ACWI</t>
  </si>
  <si>
    <t>Price</t>
  </si>
  <si>
    <t>NVT</t>
  </si>
  <si>
    <t>nVent Electric PLC (NVT)</t>
  </si>
  <si>
    <t>HUBB</t>
  </si>
  <si>
    <t>MLI</t>
  </si>
  <si>
    <t>iShares MSCI ACWI ETF (ACWI)</t>
  </si>
  <si>
    <t>Hubbell Inc (HUBB)</t>
  </si>
  <si>
    <t>Mueller Industries Inc (MLI)</t>
  </si>
  <si>
    <t>Value</t>
  </si>
  <si>
    <t>Medium</t>
  </si>
  <si>
    <t>AI</t>
  </si>
  <si>
    <t>Materials</t>
  </si>
  <si>
    <t>SECTION 5 — RISK MANAGEMENT &amp; PERFORMANCE (ACWI BENCHMARK)</t>
  </si>
  <si>
    <t>Risk parameters updated for 7-stock universe vs ACWI benchmark. Key change: portfolio beta 1.274 (aggressive growth tilt).</t>
  </si>
  <si>
    <t>Table 5.1 — Risk Decomposition (Updated Panel A)</t>
  </si>
  <si>
    <t>Ticker</t>
  </si>
  <si>
    <t>Company</t>
  </si>
  <si>
    <t>s Total</t>
  </si>
  <si>
    <t>s Syst.</t>
  </si>
  <si>
    <t>s(e)</t>
  </si>
  <si>
    <t>R²</t>
  </si>
  <si>
    <t>Corr</t>
  </si>
  <si>
    <t>Active Wt</t>
  </si>
  <si>
    <t>MSCI ACWI Index</t>
  </si>
  <si>
    <t>1.000</t>
  </si>
  <si>
    <t>14.97%</t>
  </si>
  <si>
    <t>0.00%</t>
  </si>
  <si>
    <t>100.0%</t>
  </si>
  <si>
    <t>Benchmark</t>
  </si>
  <si>
    <t>Quanta Services</t>
  </si>
  <si>
    <t>1.143</t>
  </si>
  <si>
    <t>31.31%</t>
  </si>
  <si>
    <t>17.11%</t>
  </si>
  <si>
    <t>26.22%</t>
  </si>
  <si>
    <t>29.9%</t>
  </si>
  <si>
    <t>0.546</t>
  </si>
  <si>
    <t>+13.99%</t>
  </si>
  <si>
    <t>Eaton Corporation</t>
  </si>
  <si>
    <t>1.185</t>
  </si>
  <si>
    <t>27.22%</t>
  </si>
  <si>
    <t>17.74%</t>
  </si>
  <si>
    <t>20.65%</t>
  </si>
  <si>
    <t>42.5%</t>
  </si>
  <si>
    <t>0.652</t>
  </si>
  <si>
    <t>+14.57%</t>
  </si>
  <si>
    <t>Am. Electric Power</t>
  </si>
  <si>
    <t>0.660</t>
  </si>
  <si>
    <t>19.05%</t>
  </si>
  <si>
    <t>9.88%</t>
  </si>
  <si>
    <t>31.66%</t>
  </si>
  <si>
    <t>26.9%</t>
  </si>
  <si>
    <t>0.518</t>
  </si>
  <si>
    <t>+1.89%</t>
  </si>
  <si>
    <t>Schneider Electric</t>
  </si>
  <si>
    <t>1.216</t>
  </si>
  <si>
    <t>30.69%</t>
  </si>
  <si>
    <t>25.69%</t>
  </si>
  <si>
    <t>16.79%</t>
  </si>
  <si>
    <t>70.1%</t>
  </si>
  <si>
    <t>0.837</t>
  </si>
  <si>
    <t>+23.39%</t>
  </si>
  <si>
    <t>nVent Electric</t>
  </si>
  <si>
    <t>1.300</t>
  </si>
  <si>
    <t>30.02%</t>
  </si>
  <si>
    <t>19.46%</t>
  </si>
  <si>
    <t>22.86%</t>
  </si>
  <si>
    <t>42.0%</t>
  </si>
  <si>
    <t>0.648</t>
  </si>
  <si>
    <t>+17.75%</t>
  </si>
  <si>
    <t>Hubbell Inc</t>
  </si>
  <si>
    <t>0.986</t>
  </si>
  <si>
    <t>27.72%</t>
  </si>
  <si>
    <t>14.76%</t>
  </si>
  <si>
    <t>36.83%</t>
  </si>
  <si>
    <t>28.4%</t>
  </si>
  <si>
    <t>0.533</t>
  </si>
  <si>
    <t>+7.33%</t>
  </si>
  <si>
    <t>Mueller Industries</t>
  </si>
  <si>
    <t>1.064</t>
  </si>
  <si>
    <t>30.96%</t>
  </si>
  <si>
    <t>15.93%</t>
  </si>
  <si>
    <t>37.88%</t>
  </si>
  <si>
    <t>26.5%</t>
  </si>
  <si>
    <t>0.514</t>
  </si>
  <si>
    <t>+21.08%</t>
  </si>
  <si>
    <t>HUBB has HIGHEST residual variance (36.83%) and MLI close behind (37.88%). AEP low R² (26.9%) — drives p-value concerns (see S8).</t>
  </si>
  <si>
    <t>Figure 5.1 — Risk Decomposition</t>
  </si>
  <si>
    <t>Figure 5.2 — Risk-Return Map</t>
  </si>
  <si>
    <t>SECTION 6 — VALUATION (7 STOCKS, ACWI BENCHMARK, TLT BUFFER)</t>
  </si>
  <si>
    <t>All prices, EPS, dividends, and analyst targets updated April 15, 2026. Market avg P/E = 29.7x. TLT yield now 4.95% (matches rf).</t>
  </si>
  <si>
    <t>Table 6.1 — Valuation Summary</t>
  </si>
  <si>
    <t>P/E</t>
  </si>
  <si>
    <t>Fwd Div ($)</t>
  </si>
  <si>
    <t>1yr Target</t>
  </si>
  <si>
    <t>Target Return</t>
  </si>
  <si>
    <t>Div Yield</t>
  </si>
  <si>
    <t>$179.79</t>
  </si>
  <si>
    <t>—</t>
  </si>
  <si>
    <t>17.1x</t>
  </si>
  <si>
    <t>$0.36</t>
  </si>
  <si>
    <t>0.06%</t>
  </si>
  <si>
    <t>$585.36</t>
  </si>
  <si>
    <t>$10.75</t>
  </si>
  <si>
    <t>54.5x</t>
  </si>
  <si>
    <t>$0.44</t>
  </si>
  <si>
    <t>$593.30</t>
  </si>
  <si>
    <t>+1.36%</t>
  </si>
  <si>
    <t>0.08%</t>
  </si>
  <si>
    <t>$395.00</t>
  </si>
  <si>
    <t>$10.53</t>
  </si>
  <si>
    <t>37.5x</t>
  </si>
  <si>
    <t>$4.08</t>
  </si>
  <si>
    <t>$404.62</t>
  </si>
  <si>
    <t>+2.44%</t>
  </si>
  <si>
    <t>1.03%</t>
  </si>
  <si>
    <t>$131.50</t>
  </si>
  <si>
    <t>$5.35</t>
  </si>
  <si>
    <t>24.6x</t>
  </si>
  <si>
    <t>$3.80</t>
  </si>
  <si>
    <t>$136.81</t>
  </si>
  <si>
    <t>+4.04%</t>
  </si>
  <si>
    <t>2.89%</t>
  </si>
  <si>
    <t>$62.15</t>
  </si>
  <si>
    <t>$1.65</t>
  </si>
  <si>
    <t>37.7x</t>
  </si>
  <si>
    <t>$0.57</t>
  </si>
  <si>
    <t>$65.10</t>
  </si>
  <si>
    <t>+4.75%</t>
  </si>
  <si>
    <t>0.92%</t>
  </si>
  <si>
    <t>$131.38</t>
  </si>
  <si>
    <t>$2.60</t>
  </si>
  <si>
    <t>50.5x</t>
  </si>
  <si>
    <t>$0.84</t>
  </si>
  <si>
    <t>$148.31</t>
  </si>
  <si>
    <t>+12.89%</t>
  </si>
  <si>
    <t>0.64%</t>
  </si>
  <si>
    <t>$526.94</t>
  </si>
  <si>
    <t>$15.80</t>
  </si>
  <si>
    <t>33.4x</t>
  </si>
  <si>
    <t>$4.88</t>
  </si>
  <si>
    <t>$445.50</t>
  </si>
  <si>
    <t>−15.46%</t>
  </si>
  <si>
    <t>0.93%</t>
  </si>
  <si>
    <t>$118.25</t>
  </si>
  <si>
    <t>$6.54</t>
  </si>
  <si>
    <t>18.1x</t>
  </si>
  <si>
    <t>$0.80</t>
  </si>
  <si>
    <t>$142.80</t>
  </si>
  <si>
    <t>+20.76%</t>
  </si>
  <si>
    <t>0.68%</t>
  </si>
  <si>
    <t>MLI: +20.76% upside + cheapest P/E (18.1x). HUBB: ONLY holding with NEGATIVE consensus target (-15.46%) — flagged for reduction. See S8 P-value analysis.</t>
  </si>
  <si>
    <t>Figure 6.1 — Analyst Consensus Target Returns</t>
  </si>
  <si>
    <t>Target Return %</t>
  </si>
  <si>
    <t>Table 6.2 — TLT Bond Analysis (YTM = rf = 4.95%)</t>
  </si>
  <si>
    <t>Characteristic</t>
  </si>
  <si>
    <t>Risk Implication</t>
  </si>
  <si>
    <t>Portfolio Role</t>
  </si>
  <si>
    <t>Instrument</t>
  </si>
  <si>
    <t>iShares 20+ Year Treasury Bond ETF (TLT)</t>
  </si>
  <si>
    <t>Pure US Treasury; zero credit risk</t>
  </si>
  <si>
    <t>44.31% capital protection</t>
  </si>
  <si>
    <t>25.8 years</t>
  </si>
  <si>
    <t>Long duration</t>
  </si>
  <si>
    <t>Maximum rate-cut leverage</t>
  </si>
  <si>
    <t>Coupon</t>
  </si>
  <si>
    <t>3.42% (monthly)</t>
  </si>
  <si>
    <t>Below YTM</t>
  </si>
  <si>
    <t>Monthly income</t>
  </si>
  <si>
    <t>YTM</t>
  </si>
  <si>
    <t>4.95%</t>
  </si>
  <si>
    <t>Equal to risk-free rate</t>
  </si>
  <si>
    <t>Equals rf — TLT used as rf proxy</t>
  </si>
  <si>
    <t>Current Price</t>
  </si>
  <si>
    <t>$86.83</t>
  </si>
  <si>
    <t>Deep discount (-13.17)</t>
  </si>
  <si>
    <t>Capital upside if rates fall</t>
  </si>
  <si>
    <t>15.43 years</t>
  </si>
  <si>
    <t>~15.4% move per 100bps</t>
  </si>
  <si>
    <t>~2x LQD duration</t>
  </si>
  <si>
    <t>Convexity</t>
  </si>
  <si>
    <t>3.27</t>
  </si>
  <si>
    <t>Favourable asymmetry</t>
  </si>
  <si>
    <t>Upside &gt; downside equal moves</t>
  </si>
  <si>
    <t>100bps rate drop (D* only)</t>
  </si>
  <si>
    <t>$86.83 → $100.23 (+15.43%)</t>
  </si>
  <si>
    <t>Duration estimate</t>
  </si>
  <si>
    <t>Total: 15.43% + 4.95% = 20.38%</t>
  </si>
  <si>
    <t>D* + Convexity</t>
  </si>
  <si>
    <t>$86.83 → $100.24 (+15.45%)</t>
  </si>
  <si>
    <t>Convexity benefit</t>
  </si>
  <si>
    <t>Confirmed positive</t>
  </si>
  <si>
    <t>SECTION 7 — PERFORMANCE MEASUREMENT &amp; MONITORING</t>
  </si>
  <si>
    <t>The GRID-to-ACWI transition moves every Minh Tri KPI: y*=55.69%, E(Rc)=18.61%, Sharpe=1.109, β=1.274. All monitoring thresholds recalibrated.</t>
  </si>
  <si>
    <t>Table 7.0 — Portfolio Construction Bridge: Client Goals → Model → Execution</t>
  </si>
  <si>
    <t>Stage</t>
  </si>
  <si>
    <t>Client Input</t>
  </si>
  <si>
    <t>Model Formula</t>
  </si>
  <si>
    <t>Output</t>
  </si>
  <si>
    <t>Portfolio Execution</t>
  </si>
  <si>
    <t>Stage 1: Capital Allocation</t>
  </si>
  <si>
    <t>Risk Tolerance 55/100
A = 9.0</t>
  </si>
  <si>
    <t>y* = E(Rp-rf)/(A·σp²)</t>
  </si>
  <si>
    <t>y* = 55.69%</t>
  </si>
  <si>
    <t>44.31% TLT / T-Bill
55.69% active equity sleeve</t>
  </si>
  <si>
    <t>Stage 2: Security Selection</t>
  </si>
  <si>
    <t>Conservative mandate
AI-energy theme</t>
  </si>
  <si>
    <t>wᵢ = αᵢ/σ²(eᵢ) — Treynor-Black</t>
  </si>
  <si>
    <t>7 stocks, β = 1.274</t>
  </si>
  <si>
    <t>SBGSY 23.4%, MLI 21.1%, NVT 17.7%,
ETN 14.6%, PWR 14.0%, HUBB 7.3%, AEP 1.9%</t>
  </si>
  <si>
    <t>Stage 3: Execution</t>
  </si>
  <si>
    <t>E(Rc) target 18.61%
σc max 12.32%</t>
  </si>
  <si>
    <t>E(Rc) = rf + y(E(Rp)-rf)
σc = y·σp</t>
  </si>
  <si>
    <t>E(Rc)=18.61%, σc=12.32%
Sharpe=1.109, α=17.37%</t>
  </si>
  <si>
    <t>Live portfolio matches
model outputs quarterly</t>
  </si>
  <si>
    <t>Table 7.1 — 12-KPI Monitoring Dashboard</t>
  </si>
  <si>
    <t>KPI / Metric</t>
  </si>
  <si>
    <t>Source (Sheet/Panel)</t>
  </si>
  <si>
    <t>Target / Threshold</t>
  </si>
  <si>
    <t>Frequency</t>
  </si>
  <si>
    <t>Trigger Action</t>
  </si>
  <si>
    <t>Portfolio Return E(Rc)</t>
  </si>
  <si>
    <t>Capital Allocation</t>
  </si>
  <si>
    <t>&gt;= 18.61% (3yr)</t>
  </si>
  <si>
    <t>Quarterly</t>
  </si>
  <si>
    <t>Review if below target -200bps for 2Q</t>
  </si>
  <si>
    <t>Panel G</t>
  </si>
  <si>
    <t>&gt;= 0.80 (12M rolling)</t>
  </si>
  <si>
    <t>Reduce active if &lt; 0.70 for one quarter</t>
  </si>
  <si>
    <t>Jensen's Alpha</t>
  </si>
  <si>
    <t>&gt; 0% (3yr rolling)</t>
  </si>
  <si>
    <t>Reduce if negative for 2 consecutive quarters</t>
  </si>
  <si>
    <t>Information Ratio</t>
  </si>
  <si>
    <t>&gt;= 0.30 (current 0.855)</t>
  </si>
  <si>
    <t>Review if IR &lt; 0.20</t>
  </si>
  <si>
    <t>Portfolio Beta</t>
  </si>
  <si>
    <t>Panel A</t>
  </si>
  <si>
    <t>1.00 - 1.40</t>
  </si>
  <si>
    <t>Monthly</t>
  </si>
  <si>
    <t>Rebalance if outside ±0.15 of 1.274</t>
  </si>
  <si>
    <t>Complete Pf SD (σc)</t>
  </si>
  <si>
    <t>&lt;= 13.50% (cap 14%)</t>
  </si>
  <si>
    <t>Reduce y if σc breaches 14%</t>
  </si>
  <si>
    <t>Max Drawdown (12M)</t>
  </si>
  <si>
    <t>Portfolio monitoring</t>
  </si>
  <si>
    <t>&lt; -15% alert; -20% review</t>
  </si>
  <si>
    <t>Ongoing</t>
  </si>
  <si>
    <t>Notify at -10%; emergency review at -15%</t>
  </si>
  <si>
    <t>y* Risky Weight</t>
  </si>
  <si>
    <t>50% - 62%</t>
  </si>
  <si>
    <t>Rebalance to 55.69% target ±5%</t>
  </si>
  <si>
    <t>SBGSY Position Weight</t>
  </si>
  <si>
    <t>&lt;= 30% of active sleeve</t>
  </si>
  <si>
    <t>Currently 23.4%; trim on breach</t>
  </si>
  <si>
    <t>P-Value Monitor (4 stocks)</t>
  </si>
  <si>
    <t>Data. Securities</t>
  </si>
  <si>
    <t>p &lt; 10%</t>
  </si>
  <si>
    <t>See S8 — reduce 50% if p&gt;10% for 2 quarters</t>
  </si>
  <si>
    <t>HUBB Special Review</t>
  </si>
  <si>
    <t>Negative consensus target</t>
  </si>
  <si>
    <t>Reduce 50% if no improvement in 2 quarters</t>
  </si>
  <si>
    <t>TLT Duration Risk</t>
  </si>
  <si>
    <t>Bond Duration sheet</t>
  </si>
  <si>
    <t>D* = 15.43yr</t>
  </si>
  <si>
    <t>Shorten to T-Bill if Fed hawkish</t>
  </si>
  <si>
    <t>Table 7.2 — Model Refresh Protocol</t>
  </si>
  <si>
    <t>What to Update</t>
  </si>
  <si>
    <t>Sheet / Panel</t>
  </si>
  <si>
    <t>Decision Output</t>
  </si>
  <si>
    <t>Prices, EPS, dividends, analyst targets</t>
  </si>
  <si>
    <t>Data. Securities (Panel 3)</t>
  </si>
  <si>
    <t>Updated valuation inputs</t>
  </si>
  <si>
    <t>Alpha regression, Panel F/G re-optimisation</t>
  </si>
  <si>
    <t>Security Allocation (E/F/G)</t>
  </si>
  <si>
    <t>New active weights</t>
  </si>
  <si>
    <t>P-value re-estimation per stock</t>
  </si>
  <si>
    <t>Monitor the 4 high-p-value stocks</t>
  </si>
  <si>
    <t>Capital Allocation refresh; y* if A changes</t>
  </si>
  <si>
    <t>Capital Allocation sheet</t>
  </si>
  <si>
    <t>New y*, E(Rc), σc, Sharpe</t>
  </si>
  <si>
    <t>Semi-annual</t>
  </si>
  <si>
    <t>Risk Aversion A reassessment (client consult.)</t>
  </si>
  <si>
    <t>Client meeting + Capital Alloc.</t>
  </si>
  <si>
    <t>Revised y* if A changes</t>
  </si>
  <si>
    <t>Event-driven</t>
  </si>
  <si>
    <t>Earnings surprise &gt;15% vs consensus</t>
  </si>
  <si>
    <t>Data. Securities Panel 1/E</t>
  </si>
  <si>
    <t>Immediate alpha revision</t>
  </si>
  <si>
    <t>Fed/BoC rate policy change</t>
  </si>
  <si>
    <t>Data. Bond Duration</t>
  </si>
  <si>
    <t>Duration adjustment</t>
  </si>
  <si>
    <t>HUBB consensus revision downward</t>
  </si>
  <si>
    <t>Assess position reduction</t>
  </si>
  <si>
    <t>Figure 7.1 — Construction Bridge Diagram</t>
  </si>
  <si>
    <t>SECTION 4 — ACWI ACTIVE STRATEGY  |  7-Stock AI-Energy Growth Portfolio</t>
  </si>
  <si>
    <t>Benchmark: iShares MSCI ACWI ETF | 7 stocks: PWR ETN AEP SBGSY NVT HUBB MLI | TLT buffer | rf=4.95% | Data April 15, 2026</t>
  </si>
  <si>
    <t>Parameter</t>
  </si>
  <si>
    <t>Formula / Source</t>
  </si>
  <si>
    <t>Interpretation</t>
  </si>
  <si>
    <t>Risk Tolerance Score</t>
  </si>
  <si>
    <t>55 / 100</t>
  </si>
  <si>
    <t>Conservative-moderate; drives A via scaling</t>
  </si>
  <si>
    <t>Risk Aversion Index (A)</t>
  </si>
  <si>
    <t>9.0</t>
  </si>
  <si>
    <t>Derived (Bull: 1-20)</t>
  </si>
  <si>
    <t>More conservative than prior A=8.0; higher variance penalty</t>
  </si>
  <si>
    <t>Risk-Free Rate rf</t>
  </si>
  <si>
    <t>3M US Treasury Bill</t>
  </si>
  <si>
    <t>Updated from 3.70% prior; higher floor return</t>
  </si>
  <si>
    <t>E(Rp) — Risky Portfolio</t>
  </si>
  <si>
    <t>29.48%</t>
  </si>
  <si>
    <t>Security Allocation (Panel G)</t>
  </si>
  <si>
    <t>Higher expected return driven by 7-stock active overlay</t>
  </si>
  <si>
    <t>sp — Risky Portfolio</t>
  </si>
  <si>
    <t>22.12%</t>
  </si>
  <si>
    <t>Near-identical volatility to prior 7-stock universe</t>
  </si>
  <si>
    <t>y* — Weight in Risky Pf</t>
  </si>
  <si>
    <t>55.69%</t>
  </si>
  <si>
    <t>y*=E(Rp-rf)/(A·sp²)</t>
  </si>
  <si>
    <t>Increased vs prior 54.94% despite higher A due to larger Sharpe</t>
  </si>
  <si>
    <t>(1-y*) — Weight in Risk-Free</t>
  </si>
  <si>
    <t>44.31%</t>
  </si>
  <si>
    <t>1 - y*</t>
  </si>
  <si>
    <t>Slightly lower TLT buffer vs prior 45.06%</t>
  </si>
  <si>
    <t>E(Rc) — Complete Portfolio</t>
  </si>
  <si>
    <t>18.61%</t>
  </si>
  <si>
    <t>rf + y·(E(Rp)-rf)</t>
  </si>
  <si>
    <t>Materially higher expected return (was 15.53%)</t>
  </si>
  <si>
    <t>sc — Complete Portfolio</t>
  </si>
  <si>
    <t>12.32%</t>
  </si>
  <si>
    <t>y·sp</t>
  </si>
  <si>
    <t>Near-identical risk (was 12.16%)</t>
  </si>
  <si>
    <t>Sharpe Ratio (CAL slope)</t>
  </si>
  <si>
    <t>1.109</t>
  </si>
  <si>
    <t>E(Rp-rf)/sp</t>
  </si>
  <si>
    <t>Exceptional (&gt;1.0); higher than prior 0.973</t>
  </si>
  <si>
    <t>Jensen's Alpha (Active Pf)</t>
  </si>
  <si>
    <t>17.37%</t>
  </si>
  <si>
    <t>Nearly 2x prior alpha (was 8.78%)</t>
  </si>
  <si>
    <t>0.855</t>
  </si>
  <si>
    <t>Major improvement (was 0.350)</t>
  </si>
  <si>
    <t>1.274</t>
  </si>
  <si>
    <t>Higher than prior 0.925; aggressive growth tilt</t>
  </si>
  <si>
    <t>Treynor Measure</t>
  </si>
  <si>
    <t>0.193</t>
  </si>
  <si>
    <t>Lower than prior 0.233 due to higher beta</t>
  </si>
  <si>
    <t>Net Selectivity</t>
  </si>
  <si>
    <t>18.51%</t>
  </si>
  <si>
    <t>Strong stock selection contribution</t>
  </si>
  <si>
    <t>KEY CHANGE: Benchmark updated to ACWI; 7 stocks selected; rf increased to 4.95%. Portfolio generates higher expected return with comparable volatility.</t>
  </si>
  <si>
    <t>Table 4.2 — TLT Duration &amp; Convexity Analysis</t>
  </si>
  <si>
    <t>Risk-free proxy for bond sleeve</t>
  </si>
  <si>
    <t>25.8 years (effective)</t>
  </si>
  <si>
    <t>Coupon Rate</t>
  </si>
  <si>
    <t>3.42% (monthly payments)</t>
  </si>
  <si>
    <t>Below YTM → priced at discount</t>
  </si>
  <si>
    <t>Monthly income enhances cash flow</t>
  </si>
  <si>
    <t>Yield to Maturity (YTM)</t>
  </si>
  <si>
    <t>Equals risk-free rate; yield pickup = 0</t>
  </si>
  <si>
    <t>TLT functions as rf proxy with upside optionality</t>
  </si>
  <si>
    <t>$86.83 (per $100 par)</t>
  </si>
  <si>
    <t>Deep discount of $13.17; significant capital upside</t>
  </si>
  <si>
    <t>Asymmetric upside if Fed/BoA cuts rates</t>
  </si>
  <si>
    <t>~15.43% price change per 100bps rate move</t>
  </si>
  <si>
    <t>Rate sensitivity monitored via Fed/BoA communications</t>
  </si>
  <si>
    <t>Convexity (C)</t>
  </si>
  <si>
    <t>Positive convexity = favourable asymmetry</t>
  </si>
  <si>
    <t>Price gains exceed losses for equal rate moves</t>
  </si>
  <si>
    <t>100bps Rate Drop: D* only</t>
  </si>
  <si>
    <t>+15.43% price change ($86.83→$100.23)</t>
  </si>
  <si>
    <t>Validated duration hedging effect</t>
  </si>
  <si>
    <t>Scenario analysis confirmed per model</t>
  </si>
  <si>
    <t>100bps Rate Drop: D* + Convexity</t>
  </si>
  <si>
    <t>+15.45% price change ($86.83→$100.24)</t>
  </si>
  <si>
    <t>Convexity adds marginal upside</t>
  </si>
  <si>
    <t>Confirms positive convexity profile</t>
  </si>
  <si>
    <t>Table 4.3 — 7-Stock Universe (ACWI Benchmark)</t>
  </si>
  <si>
    <t>Role</t>
  </si>
  <si>
    <t>Adj. Alpha</t>
  </si>
  <si>
    <t>Sharpe</t>
  </si>
  <si>
    <t>Active Wt.</t>
  </si>
  <si>
    <t>MSCI All Country World Index</t>
  </si>
  <si>
    <t>0.0%</t>
  </si>
  <si>
    <t>0.291</t>
  </si>
  <si>
    <t>Schneider Electric SA</t>
  </si>
  <si>
    <t>Smart Grid Leader</t>
  </si>
  <si>
    <t>+9.10%</t>
  </si>
  <si>
    <t>0.472</t>
  </si>
  <si>
    <t>Copper/Electrification</t>
  </si>
  <si>
    <t>+41.76%</t>
  </si>
  <si>
    <t>1.083</t>
  </si>
  <si>
    <t>nVent Electric PLC</t>
  </si>
  <si>
    <t>Thermal/Data Ctr</t>
  </si>
  <si>
    <t>+12.80%</t>
  </si>
  <si>
    <t>0.949</t>
  </si>
  <si>
    <t>Power Mgmt</t>
  </si>
  <si>
    <t>+8.58%</t>
  </si>
  <si>
    <t>0.725</t>
  </si>
  <si>
    <t>Grid Builder</t>
  </si>
  <si>
    <t>+13.28%</t>
  </si>
  <si>
    <t>1.204</t>
  </si>
  <si>
    <t>Utility Solutions</t>
  </si>
  <si>
    <t>+13.73%</t>
  </si>
  <si>
    <t>0.726</t>
  </si>
  <si>
    <t>Utility Defensive</t>
  </si>
  <si>
    <t>+2.61%</t>
  </si>
  <si>
    <t>0.303</t>
  </si>
  <si>
    <t>SBGSY tops weights at 23.39% (largest holding). MLI 2nd at 21.08% with HIGHEST alpha (41.76%). Universe composition changed — ITRI/WEC/NGG replaced with NVT/HUBB/MLI.</t>
  </si>
  <si>
    <t>Figure 4.1 — Alpha vs Beta Map</t>
  </si>
  <si>
    <t>Figure 4.1.1 — Active Portfolio Weights (Native Chart)</t>
  </si>
  <si>
    <t>Active Weight %</t>
  </si>
  <si>
    <t>Figure 4.2 — Performance Dashboard</t>
  </si>
  <si>
    <t xml:space="preserve">Figure 4.3— P/E Ratio </t>
  </si>
  <si>
    <t>Figure 4.4 — Performance Metric Dashboard</t>
  </si>
  <si>
    <t>Figure 4.5 — Final Allocation Portfolio</t>
  </si>
  <si>
    <t>Table 4.4— Active vs. Index Portfolio</t>
  </si>
  <si>
    <t>Panel</t>
  </si>
  <si>
    <t>Metric</t>
  </si>
  <si>
    <t>ACWI (Index)</t>
  </si>
  <si>
    <t>Active Pf</t>
  </si>
  <si>
    <t>G — Performance</t>
  </si>
  <si>
    <t>Beta (β)</t>
  </si>
  <si>
    <t>Jensen's Alpha (α)</t>
  </si>
  <si>
    <t>F — Weights</t>
  </si>
  <si>
    <t>Active Pf Weight</t>
  </si>
  <si>
    <t>F — Info Ratio</t>
  </si>
  <si>
    <t>APIR (α/σ²e)</t>
  </si>
  <si>
    <t>IPIR (E(Rm)/σ²M)</t>
  </si>
  <si>
    <t>wA(0) = APIR/IPIR</t>
  </si>
  <si>
    <t>Table 4.5— Summary Output of Regression Analysis</t>
  </si>
  <si>
    <t>Adj. α</t>
  </si>
  <si>
    <t>Alpha P-Value</t>
  </si>
  <si>
    <t>Significance</t>
  </si>
  <si>
    <t>Threshold</t>
  </si>
  <si>
    <t>Significant</t>
  </si>
  <si>
    <t>&lt;5%</t>
  </si>
  <si>
    <t>NOT significant</t>
  </si>
  <si>
    <t>&gt;10%</t>
  </si>
  <si>
    <t>Table 4.1 — Capital Allocation Parameters (ACWI Benchmark)</t>
  </si>
  <si>
    <t>Figure 4.6 — P-Value &amp; R² Visualisation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</si>
</sst>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3" formatCode="_(* #,##0.00_);_(* \(#,##0.00\);_(* &quot;-&quot;??_);_(@_)"/>
    <numFmt numFmtId="164" formatCode="0.0000"/>
    <numFmt numFmtId="165" formatCode="0.000000"/>
    <numFmt numFmtId="166" formatCode="_(* #,##0.0000_);_(* \(#,##0.0000\);_(* &quot;-&quot;??_);_(@_)"/>
    <numFmt numFmtId="167" formatCode="_(* #,##0.00000_);_(* \(#,##0.00000\);_(* &quot;-&quot;??_);_(@_)"/>
    <numFmt numFmtId="168" formatCode="0.0"/>
    <numFmt numFmtId="169" formatCode="0.00000"/>
    <numFmt numFmtId="170" formatCode="0.0000%"/>
  </numFmts>
  <fonts count="80">
    <font>
      <sz val="12"/>
      <color theme="1"/>
      <name val="TimesNewRomanPSMT"/>
      <family val="2"/>
    </font>
    <font>
      <sz val="12"/>
      <color theme="1"/>
      <name val="TimesNewRomanPSMT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  <family val="1"/>
    </font>
    <font>
      <i/>
      <sz val="12"/>
      <color rgb="FFC00000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i/>
      <sz val="12"/>
      <color theme="1"/>
      <name val="Times New Roman"/>
      <family val="1"/>
    </font>
    <font>
      <sz val="12"/>
      <color rgb="FFC00000"/>
      <name val="Times New Roman"/>
      <family val="1"/>
    </font>
    <font>
      <b/>
      <i/>
      <sz val="12"/>
      <color theme="1"/>
      <name val="Times New Roman"/>
      <family val="1"/>
    </font>
    <font>
      <sz val="12"/>
      <name val="Symbol"/>
      <family val="1"/>
      <charset val="2"/>
    </font>
    <font>
      <i/>
      <sz val="12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color rgb="FFC00000"/>
      <name val="Times New Roman"/>
      <family val="1"/>
    </font>
    <font>
      <b/>
      <sz val="26"/>
      <color theme="1"/>
      <name val="Times New Roman"/>
      <family val="1"/>
    </font>
    <font>
      <sz val="12"/>
      <color theme="0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24"/>
      <color theme="3"/>
      <name val="Times New Roman"/>
      <family val="1"/>
    </font>
    <font>
      <sz val="8"/>
      <name val="Cambria"/>
      <family val="1"/>
    </font>
    <font>
      <sz val="10"/>
      <name val="Arial"/>
      <family val="2"/>
    </font>
    <font>
      <b/>
      <sz val="24"/>
      <color theme="4" tint="-0.49998474074526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rgb="FFC00000"/>
      <name val="Times New Roman"/>
      <family val="1"/>
    </font>
    <font>
      <b/>
      <i/>
      <sz val="12"/>
      <color theme="0"/>
      <name val="Times New Roman"/>
      <family val="1"/>
    </font>
    <font>
      <sz val="8"/>
      <name val="Times New Roman"/>
      <family val="1"/>
    </font>
    <font>
      <b/>
      <sz val="10"/>
      <color rgb="FFC00000"/>
      <name val="Times New Roman"/>
      <family val="1"/>
    </font>
    <font>
      <b/>
      <sz val="12"/>
      <color theme="5" tint="-0.249977111117893"/>
      <name val="Times New Roman"/>
      <family val="1"/>
    </font>
    <font>
      <vertAlign val="superscript"/>
      <sz val="12"/>
      <name val="Verdana"/>
      <family val="2"/>
    </font>
    <font>
      <sz val="12"/>
      <name val="Verdana"/>
      <family val="2"/>
    </font>
    <font>
      <i/>
      <vertAlign val="subscript"/>
      <sz val="12"/>
      <name val="Aptos Narrow"/>
      <family val="2"/>
      <scheme val="minor"/>
    </font>
    <font>
      <vertAlign val="superscript"/>
      <sz val="12"/>
      <name val="Symbol"/>
      <family val="1"/>
      <charset val="2"/>
    </font>
    <font>
      <vertAlign val="superscript"/>
      <sz val="12"/>
      <name val="Aptos Narrow"/>
      <family val="2"/>
      <scheme val="minor"/>
    </font>
    <font>
      <i/>
      <vertAlign val="subscript"/>
      <sz val="12"/>
      <name val="Verdana"/>
      <family val="2"/>
    </font>
    <font>
      <sz val="9"/>
      <name val="Symbol"/>
      <charset val="2"/>
    </font>
    <font>
      <i/>
      <vertAlign val="subscript"/>
      <sz val="12"/>
      <color theme="1"/>
      <name val="Aptos Narrow"/>
      <family val="2"/>
      <scheme val="minor"/>
    </font>
    <font>
      <sz val="12"/>
      <color theme="1"/>
      <name val="Symbol"/>
      <family val="1"/>
      <charset val="2"/>
    </font>
    <font>
      <i/>
      <vertAlign val="superscript"/>
      <sz val="12"/>
      <color theme="1"/>
      <name val="Aptos Narrow"/>
      <family val="2"/>
      <scheme val="minor"/>
    </font>
    <font>
      <i/>
      <sz val="12"/>
      <name val="Times New Roman"/>
      <family val="1"/>
    </font>
    <font>
      <i/>
      <vertAlign val="subscript"/>
      <sz val="12"/>
      <name val="Times New Roman"/>
      <family val="1"/>
    </font>
    <font>
      <i/>
      <sz val="10"/>
      <name val="Times New Roman"/>
      <family val="1"/>
    </font>
    <font>
      <i/>
      <sz val="12"/>
      <color theme="1"/>
      <name val="TimesNewRomanPSMT"/>
      <family val="2"/>
    </font>
    <font>
      <b/>
      <sz val="20"/>
      <color theme="4" tint="-0.499984740745262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NewRomanPSMT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imesNewRomanPSMT"/>
    </font>
    <font>
      <i/>
      <sz val="8"/>
      <color rgb="FF0000CC"/>
      <name val="Cambria"/>
      <family val="1"/>
    </font>
    <font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3"/>
      <color rgb="FFFFFFFF"/>
      <name val="Arial"/>
      <family val="2"/>
    </font>
    <font>
      <sz val="9"/>
      <color rgb="FF555555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2C2C2C"/>
      <name val="Arial"/>
      <family val="2"/>
    </font>
    <font>
      <sz val="10"/>
      <color rgb="FF2C2C2C"/>
      <name val="Arial"/>
      <family val="2"/>
    </font>
    <font>
      <sz val="10"/>
      <color rgb="FF1A6B3A"/>
      <name val="Arial"/>
      <family val="2"/>
    </font>
    <font>
      <sz val="10"/>
      <color rgb="FF8B1A1A"/>
      <name val="Arial"/>
      <family val="2"/>
    </font>
    <font>
      <b/>
      <sz val="14"/>
      <color rgb="FFFFFFFF"/>
      <name val="Arial"/>
      <family val="2"/>
    </font>
    <font>
      <b/>
      <sz val="9"/>
      <color rgb="FFFFFFFF"/>
      <name val="Arial"/>
      <family val="2"/>
    </font>
    <font>
      <b/>
      <sz val="9.5"/>
      <color rgb="FF2C2C2C"/>
      <name val="Arial"/>
      <family val="2"/>
    </font>
    <font>
      <sz val="9.5"/>
      <color rgb="FF2C2C2C"/>
      <name val="Arial"/>
      <family val="2"/>
    </font>
    <font>
      <sz val="9.5"/>
      <color rgb="FF1A6B3A"/>
      <name val="Arial"/>
      <family val="2"/>
    </font>
    <font>
      <b/>
      <sz val="9.5"/>
      <color rgb="FF1A6B3A"/>
      <name val="Arial"/>
      <family val="2"/>
    </font>
    <font>
      <b/>
      <sz val="9.5"/>
      <color rgb="FF8B1A1A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3864"/>
        <bgColor rgb="FF0D3A4E"/>
      </patternFill>
    </fill>
    <fill>
      <patternFill patternType="solid">
        <fgColor rgb="FFD6E4F0"/>
        <bgColor rgb="FFE8E8E8"/>
      </patternFill>
    </fill>
    <fill>
      <patternFill patternType="solid">
        <fgColor rgb="FF2E5596"/>
        <bgColor rgb="FF156082"/>
      </patternFill>
    </fill>
    <fill>
      <patternFill patternType="solid">
        <fgColor rgb="FFEEF3FA"/>
        <bgColor rgb="FFF2F2F2"/>
      </patternFill>
    </fill>
    <fill>
      <patternFill patternType="solid">
        <fgColor rgb="FFFFFFFF"/>
        <bgColor rgb="FFFFF8E1"/>
      </patternFill>
    </fill>
    <fill>
      <patternFill patternType="solid">
        <fgColor rgb="FFE8F5E9"/>
        <bgColor rgb="FFF2F2F2"/>
      </patternFill>
    </fill>
    <fill>
      <patternFill patternType="solid">
        <fgColor rgb="FFFFEBEE"/>
        <bgColor rgb="FFF2F2F2"/>
      </patternFill>
    </fill>
    <fill>
      <patternFill patternType="solid">
        <fgColor rgb="FFFFF8E1"/>
        <bgColor rgb="FFF2F2F2"/>
      </patternFill>
    </fill>
    <fill>
      <patternFill patternType="solid">
        <fgColor rgb="FF1F3864"/>
        <bgColor rgb="FF0B3041"/>
      </patternFill>
    </fill>
    <fill>
      <patternFill patternType="solid">
        <fgColor rgb="FFD6E4F0"/>
        <bgColor rgb="FFDDDDFF"/>
      </patternFill>
    </fill>
    <fill>
      <patternFill patternType="solid">
        <fgColor rgb="FF2E5596"/>
        <bgColor rgb="FF126D9E"/>
      </patternFill>
    </fill>
    <fill>
      <patternFill patternType="solid">
        <fgColor rgb="FFF0F4FA"/>
        <bgColor rgb="FFF2F2F2"/>
      </patternFill>
    </fill>
    <fill>
      <patternFill patternType="solid">
        <fgColor rgb="FFDCEDC8"/>
        <bgColor rgb="FFE8E8E8"/>
      </patternFill>
    </fill>
    <fill>
      <patternFill patternType="solid">
        <fgColor rgb="FFFFFFFF"/>
        <bgColor rgb="FFFAFAFF"/>
      </patternFill>
    </fill>
    <fill>
      <patternFill patternType="solid">
        <fgColor rgb="FFFFF8E1"/>
        <bgColor rgb="FFF5F5F5"/>
      </patternFill>
    </fill>
    <fill>
      <patternFill patternType="solid">
        <fgColor rgb="FF2E5596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EE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9E9E9E"/>
      </left>
      <right style="medium">
        <color rgb="FF9E9E9E"/>
      </right>
      <top style="medium">
        <color rgb="FF9E9E9E"/>
      </top>
      <bottom style="medium">
        <color rgb="FF9E9E9E"/>
      </bottom>
      <diagonal/>
    </border>
    <border>
      <left/>
      <right/>
      <top style="medium">
        <color rgb="FF9E9E9E"/>
      </top>
      <bottom style="medium">
        <color rgb="FF9E9E9E"/>
      </bottom>
      <diagonal/>
    </border>
    <border>
      <left/>
      <right style="medium">
        <color rgb="FF9E9E9E"/>
      </right>
      <top style="medium">
        <color rgb="FF9E9E9E"/>
      </top>
      <bottom style="medium">
        <color rgb="FF9E9E9E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848781"/>
      </left>
      <right style="medium">
        <color rgb="FF848781"/>
      </right>
      <top style="medium">
        <color rgb="FF848781"/>
      </top>
      <bottom style="medium">
        <color rgb="FF848781"/>
      </bottom>
      <diagonal/>
    </border>
    <border>
      <left style="medium">
        <color rgb="FFA2A2A2"/>
      </left>
      <right style="medium">
        <color rgb="FFA2A2A2"/>
      </right>
      <top style="medium">
        <color rgb="FFA2A2A2"/>
      </top>
      <bottom style="medium">
        <color rgb="FFA2A2A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AAAAAA"/>
      </left>
      <right/>
      <top/>
      <bottom/>
      <diagonal/>
    </border>
    <border>
      <left style="thin">
        <color rgb="FFCCCCCC"/>
      </left>
      <right/>
      <top/>
      <bottom/>
      <diagonal/>
    </border>
    <border>
      <left style="medium">
        <color rgb="FF9E9E9E"/>
      </left>
      <right/>
      <top/>
      <bottom/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6">
    <xf numFmtId="0" fontId="0" fillId="0" borderId="0" xfId="0"/>
    <xf numFmtId="43" fontId="4" fillId="0" borderId="0" xfId="3" applyFont="1" applyBorder="1" applyAlignment="1">
      <alignment vertical="center"/>
    </xf>
    <xf numFmtId="43" fontId="5" fillId="0" borderId="0" xfId="3" applyFont="1" applyBorder="1" applyAlignment="1">
      <alignment vertical="center"/>
    </xf>
    <xf numFmtId="43" fontId="4" fillId="0" borderId="0" xfId="3" applyFont="1" applyAlignment="1">
      <alignment vertical="center"/>
    </xf>
    <xf numFmtId="0" fontId="7" fillId="0" borderId="0" xfId="4" applyFont="1" applyAlignment="1">
      <alignment vertical="center"/>
    </xf>
    <xf numFmtId="0" fontId="8" fillId="0" borderId="1" xfId="4" applyFont="1" applyBorder="1" applyAlignment="1">
      <alignment vertical="center"/>
    </xf>
    <xf numFmtId="0" fontId="7" fillId="0" borderId="1" xfId="4" applyFont="1" applyBorder="1" applyAlignment="1">
      <alignment vertical="center"/>
    </xf>
    <xf numFmtId="0" fontId="8" fillId="0" borderId="3" xfId="4" applyFont="1" applyBorder="1" applyAlignment="1">
      <alignment horizontal="left" vertical="center" wrapText="1"/>
    </xf>
    <xf numFmtId="164" fontId="7" fillId="0" borderId="0" xfId="4" applyNumberFormat="1" applyFont="1" applyAlignment="1">
      <alignment horizontal="right" vertical="center"/>
    </xf>
    <xf numFmtId="164" fontId="7" fillId="2" borderId="0" xfId="4" applyNumberFormat="1" applyFont="1" applyFill="1" applyAlignment="1">
      <alignment horizontal="right" vertical="center"/>
    </xf>
    <xf numFmtId="0" fontId="8" fillId="0" borderId="0" xfId="4" applyFont="1" applyAlignment="1">
      <alignment horizontal="left" vertical="center" wrapText="1"/>
    </xf>
    <xf numFmtId="164" fontId="7" fillId="0" borderId="1" xfId="4" applyNumberFormat="1" applyFont="1" applyBorder="1" applyAlignment="1">
      <alignment horizontal="right" vertical="center"/>
    </xf>
    <xf numFmtId="0" fontId="8" fillId="0" borderId="3" xfId="5" applyFont="1" applyBorder="1" applyAlignment="1">
      <alignment horizontal="left" vertical="center"/>
    </xf>
    <xf numFmtId="0" fontId="8" fillId="0" borderId="3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8" fillId="0" borderId="4" xfId="4" applyFont="1" applyBorder="1" applyAlignment="1">
      <alignment vertical="center"/>
    </xf>
    <xf numFmtId="0" fontId="8" fillId="0" borderId="0" xfId="4" applyFont="1" applyAlignment="1">
      <alignment horizontal="left" vertical="center"/>
    </xf>
    <xf numFmtId="165" fontId="7" fillId="0" borderId="0" xfId="4" applyNumberFormat="1" applyFont="1" applyAlignment="1">
      <alignment vertical="center"/>
    </xf>
    <xf numFmtId="0" fontId="13" fillId="0" borderId="3" xfId="5" applyFont="1" applyBorder="1" applyAlignment="1">
      <alignment vertical="center"/>
    </xf>
    <xf numFmtId="0" fontId="7" fillId="0" borderId="9" xfId="4" applyFont="1" applyBorder="1" applyAlignment="1">
      <alignment vertical="center"/>
    </xf>
    <xf numFmtId="0" fontId="7" fillId="0" borderId="3" xfId="4" applyFont="1" applyBorder="1" applyAlignment="1">
      <alignment horizontal="right" vertical="center"/>
    </xf>
    <xf numFmtId="0" fontId="14" fillId="0" borderId="3" xfId="5" applyFont="1" applyBorder="1" applyAlignment="1">
      <alignment vertical="center"/>
    </xf>
    <xf numFmtId="0" fontId="15" fillId="0" borderId="4" xfId="5" applyFont="1" applyBorder="1" applyAlignment="1">
      <alignment vertical="center"/>
    </xf>
    <xf numFmtId="0" fontId="7" fillId="0" borderId="10" xfId="4" applyFont="1" applyBorder="1" applyAlignment="1">
      <alignment vertical="center"/>
    </xf>
    <xf numFmtId="164" fontId="7" fillId="0" borderId="4" xfId="4" applyNumberFormat="1" applyFont="1" applyBorder="1" applyAlignment="1">
      <alignment vertical="center"/>
    </xf>
    <xf numFmtId="0" fontId="16" fillId="0" borderId="3" xfId="5" applyFont="1" applyBorder="1" applyAlignment="1">
      <alignment vertical="center"/>
    </xf>
    <xf numFmtId="0" fontId="4" fillId="0" borderId="3" xfId="5" applyFont="1" applyBorder="1" applyAlignment="1">
      <alignment vertical="center"/>
    </xf>
    <xf numFmtId="0" fontId="8" fillId="0" borderId="0" xfId="4" applyFont="1" applyAlignment="1">
      <alignment vertical="center"/>
    </xf>
    <xf numFmtId="164" fontId="7" fillId="0" borderId="0" xfId="4" applyNumberFormat="1" applyFont="1" applyAlignment="1">
      <alignment vertical="center"/>
    </xf>
    <xf numFmtId="0" fontId="7" fillId="0" borderId="1" xfId="4" applyFont="1" applyBorder="1" applyAlignment="1">
      <alignment horizontal="right" vertical="center"/>
    </xf>
    <xf numFmtId="0" fontId="18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/>
    </xf>
    <xf numFmtId="0" fontId="6" fillId="0" borderId="0" xfId="5" applyFont="1" applyAlignment="1">
      <alignment vertical="center"/>
    </xf>
    <xf numFmtId="0" fontId="21" fillId="0" borderId="0" xfId="5" applyFont="1" applyAlignment="1">
      <alignment vertical="center"/>
    </xf>
    <xf numFmtId="0" fontId="22" fillId="0" borderId="0" xfId="5" applyFont="1" applyAlignment="1">
      <alignment horizontal="right" vertical="center"/>
    </xf>
    <xf numFmtId="0" fontId="7" fillId="0" borderId="1" xfId="6" applyFont="1" applyBorder="1" applyAlignment="1">
      <alignment vertical="center"/>
    </xf>
    <xf numFmtId="0" fontId="19" fillId="0" borderId="1" xfId="6" applyFont="1" applyBorder="1" applyAlignment="1">
      <alignment vertical="center"/>
    </xf>
    <xf numFmtId="0" fontId="23" fillId="3" borderId="1" xfId="6" applyFont="1" applyFill="1" applyBorder="1" applyAlignment="1">
      <alignment vertical="center"/>
    </xf>
    <xf numFmtId="0" fontId="9" fillId="3" borderId="1" xfId="6" applyFont="1" applyFill="1" applyBorder="1" applyAlignment="1">
      <alignment vertical="center"/>
    </xf>
    <xf numFmtId="0" fontId="9" fillId="3" borderId="4" xfId="6" applyFont="1" applyFill="1" applyBorder="1" applyAlignment="1">
      <alignment vertical="center"/>
    </xf>
    <xf numFmtId="0" fontId="9" fillId="3" borderId="1" xfId="6" applyFont="1" applyFill="1" applyBorder="1" applyAlignment="1">
      <alignment horizontal="right" vertical="center"/>
    </xf>
    <xf numFmtId="0" fontId="9" fillId="3" borderId="1" xfId="6" applyFont="1" applyFill="1" applyBorder="1" applyAlignment="1">
      <alignment horizontal="right" vertical="center" wrapText="1"/>
    </xf>
    <xf numFmtId="0" fontId="19" fillId="3" borderId="0" xfId="6" applyFont="1" applyFill="1" applyAlignment="1">
      <alignment vertical="center"/>
    </xf>
    <xf numFmtId="0" fontId="23" fillId="3" borderId="4" xfId="6" applyFont="1" applyFill="1" applyBorder="1" applyAlignment="1">
      <alignment horizontal="right" vertical="center"/>
    </xf>
    <xf numFmtId="0" fontId="8" fillId="0" borderId="0" xfId="6" applyFont="1" applyAlignment="1">
      <alignment vertical="center"/>
    </xf>
    <xf numFmtId="0" fontId="8" fillId="0" borderId="11" xfId="6" applyFont="1" applyBorder="1" applyAlignment="1">
      <alignment vertical="center"/>
    </xf>
    <xf numFmtId="164" fontId="7" fillId="2" borderId="0" xfId="3" applyNumberFormat="1" applyFont="1" applyFill="1" applyBorder="1" applyAlignment="1">
      <alignment vertical="center"/>
    </xf>
    <xf numFmtId="166" fontId="7" fillId="2" borderId="0" xfId="3" applyNumberFormat="1" applyFont="1" applyFill="1" applyAlignment="1">
      <alignment vertical="center"/>
    </xf>
    <xf numFmtId="166" fontId="8" fillId="0" borderId="0" xfId="3" applyNumberFormat="1" applyFont="1" applyFill="1" applyBorder="1" applyAlignment="1">
      <alignment horizontal="right" vertical="center" wrapText="1"/>
    </xf>
    <xf numFmtId="0" fontId="7" fillId="0" borderId="3" xfId="6" applyFont="1" applyBorder="1" applyAlignment="1">
      <alignment vertical="center"/>
    </xf>
    <xf numFmtId="166" fontId="7" fillId="2" borderId="0" xfId="3" applyNumberFormat="1" applyFont="1" applyFill="1" applyBorder="1" applyAlignment="1">
      <alignment vertical="center"/>
    </xf>
    <xf numFmtId="166" fontId="7" fillId="0" borderId="0" xfId="3" applyNumberFormat="1" applyFont="1" applyFill="1" applyBorder="1" applyAlignment="1">
      <alignment vertical="center"/>
    </xf>
    <xf numFmtId="0" fontId="8" fillId="0" borderId="1" xfId="6" applyFont="1" applyBorder="1" applyAlignment="1">
      <alignment vertical="center"/>
    </xf>
    <xf numFmtId="0" fontId="7" fillId="0" borderId="4" xfId="6" applyFont="1" applyBorder="1" applyAlignment="1">
      <alignment vertical="center"/>
    </xf>
    <xf numFmtId="164" fontId="7" fillId="0" borderId="1" xfId="3" applyNumberFormat="1" applyFont="1" applyBorder="1" applyAlignment="1">
      <alignment vertical="center"/>
    </xf>
    <xf numFmtId="164" fontId="7" fillId="2" borderId="1" xfId="3" applyNumberFormat="1" applyFont="1" applyFill="1" applyBorder="1" applyAlignment="1">
      <alignment vertical="center"/>
    </xf>
    <xf numFmtId="43" fontId="7" fillId="0" borderId="0" xfId="3" applyFont="1" applyAlignment="1">
      <alignment vertical="center"/>
    </xf>
    <xf numFmtId="166" fontId="7" fillId="0" borderId="0" xfId="3" applyNumberFormat="1" applyFont="1" applyAlignment="1">
      <alignment vertical="center"/>
    </xf>
    <xf numFmtId="164" fontId="7" fillId="0" borderId="0" xfId="3" applyNumberFormat="1" applyFont="1" applyBorder="1" applyAlignment="1">
      <alignment vertical="center"/>
    </xf>
    <xf numFmtId="166" fontId="7" fillId="2" borderId="0" xfId="3" applyNumberFormat="1" applyFont="1" applyFill="1" applyBorder="1" applyAlignment="1">
      <alignment horizontal="right" vertical="center"/>
    </xf>
    <xf numFmtId="166" fontId="7" fillId="0" borderId="0" xfId="3" applyNumberFormat="1" applyFont="1" applyFill="1" applyBorder="1" applyAlignment="1">
      <alignment horizontal="right" vertical="center"/>
    </xf>
    <xf numFmtId="0" fontId="24" fillId="0" borderId="1" xfId="6" applyFont="1" applyBorder="1" applyAlignment="1">
      <alignment vertical="center"/>
    </xf>
    <xf numFmtId="0" fontId="24" fillId="0" borderId="4" xfId="6" applyFont="1" applyBorder="1" applyAlignment="1">
      <alignment vertical="center"/>
    </xf>
    <xf numFmtId="0" fontId="7" fillId="0" borderId="12" xfId="6" applyFont="1" applyBorder="1" applyAlignment="1">
      <alignment vertical="center"/>
    </xf>
    <xf numFmtId="0" fontId="24" fillId="0" borderId="0" xfId="6" applyFont="1" applyAlignment="1">
      <alignment vertical="center"/>
    </xf>
    <xf numFmtId="167" fontId="7" fillId="0" borderId="0" xfId="6" applyNumberFormat="1" applyFont="1" applyAlignment="1">
      <alignment vertical="center"/>
    </xf>
    <xf numFmtId="0" fontId="23" fillId="3" borderId="3" xfId="6" applyFont="1" applyFill="1" applyBorder="1" applyAlignment="1">
      <alignment horizontal="right" vertical="center"/>
    </xf>
    <xf numFmtId="0" fontId="25" fillId="0" borderId="4" xfId="6" applyFont="1" applyBorder="1" applyAlignment="1">
      <alignment horizontal="right" vertical="center" wrapText="1"/>
    </xf>
    <xf numFmtId="0" fontId="26" fillId="0" borderId="6" xfId="6" applyFont="1" applyBorder="1" applyAlignment="1">
      <alignment horizontal="right" vertical="center" wrapText="1"/>
    </xf>
    <xf numFmtId="0" fontId="26" fillId="0" borderId="1" xfId="6" applyFont="1" applyBorder="1" applyAlignment="1">
      <alignment horizontal="right" vertical="center" wrapText="1"/>
    </xf>
    <xf numFmtId="0" fontId="26" fillId="0" borderId="4" xfId="6" applyFont="1" applyBorder="1" applyAlignment="1">
      <alignment horizontal="right" vertical="center" wrapText="1"/>
    </xf>
    <xf numFmtId="0" fontId="7" fillId="0" borderId="0" xfId="6" applyFont="1" applyAlignment="1">
      <alignment vertical="center" wrapText="1"/>
    </xf>
    <xf numFmtId="14" fontId="7" fillId="0" borderId="3" xfId="5" applyNumberFormat="1" applyFont="1" applyBorder="1" applyAlignment="1">
      <alignment vertical="center"/>
    </xf>
    <xf numFmtId="2" fontId="7" fillId="0" borderId="13" xfId="5" applyNumberFormat="1" applyFont="1" applyBorder="1" applyAlignment="1">
      <alignment vertical="center"/>
    </xf>
    <xf numFmtId="0" fontId="27" fillId="0" borderId="0" xfId="6" applyFont="1" applyAlignment="1">
      <alignment vertical="center"/>
    </xf>
    <xf numFmtId="0" fontId="27" fillId="0" borderId="3" xfId="6" applyFont="1" applyBorder="1" applyAlignment="1">
      <alignment vertical="center"/>
    </xf>
    <xf numFmtId="10" fontId="27" fillId="2" borderId="0" xfId="8" applyNumberFormat="1" applyFont="1" applyFill="1" applyBorder="1" applyAlignment="1">
      <alignment vertical="center"/>
    </xf>
    <xf numFmtId="10" fontId="27" fillId="2" borderId="3" xfId="8" applyNumberFormat="1" applyFont="1" applyFill="1" applyBorder="1" applyAlignment="1">
      <alignment vertical="center"/>
    </xf>
    <xf numFmtId="14" fontId="7" fillId="0" borderId="0" xfId="5" applyNumberFormat="1" applyFont="1" applyAlignment="1">
      <alignment vertical="center"/>
    </xf>
    <xf numFmtId="0" fontId="7" fillId="0" borderId="0" xfId="5" applyFont="1" applyAlignment="1">
      <alignment vertical="center"/>
    </xf>
    <xf numFmtId="164" fontId="7" fillId="2" borderId="0" xfId="5" applyNumberFormat="1" applyFont="1" applyFill="1" applyAlignment="1">
      <alignment horizontal="right" vertical="center"/>
    </xf>
    <xf numFmtId="166" fontId="8" fillId="2" borderId="0" xfId="5" applyNumberFormat="1" applyFont="1" applyFill="1" applyAlignment="1">
      <alignment horizontal="right" vertical="center"/>
    </xf>
    <xf numFmtId="166" fontId="7" fillId="2" borderId="0" xfId="5" applyNumberFormat="1" applyFont="1" applyFill="1" applyAlignment="1">
      <alignment horizontal="right" vertical="center"/>
    </xf>
    <xf numFmtId="164" fontId="8" fillId="2" borderId="0" xfId="4" applyNumberFormat="1" applyFont="1" applyFill="1" applyAlignment="1">
      <alignment vertical="center"/>
    </xf>
    <xf numFmtId="164" fontId="7" fillId="2" borderId="0" xfId="4" applyNumberFormat="1" applyFont="1" applyFill="1" applyAlignment="1">
      <alignment vertical="center"/>
    </xf>
    <xf numFmtId="164" fontId="7" fillId="2" borderId="1" xfId="4" applyNumberFormat="1" applyFont="1" applyFill="1" applyBorder="1" applyAlignment="1">
      <alignment vertical="center"/>
    </xf>
    <xf numFmtId="164" fontId="7" fillId="2" borderId="3" xfId="4" applyNumberFormat="1" applyFont="1" applyFill="1" applyBorder="1" applyAlignment="1">
      <alignment vertical="center"/>
    </xf>
    <xf numFmtId="164" fontId="8" fillId="2" borderId="10" xfId="4" applyNumberFormat="1" applyFont="1" applyFill="1" applyBorder="1" applyAlignment="1">
      <alignment vertical="center"/>
    </xf>
    <xf numFmtId="164" fontId="8" fillId="2" borderId="9" xfId="4" applyNumberFormat="1" applyFont="1" applyFill="1" applyBorder="1" applyAlignment="1">
      <alignment horizontal="right" vertical="center"/>
    </xf>
    <xf numFmtId="164" fontId="8" fillId="2" borderId="9" xfId="4" applyNumberFormat="1" applyFont="1" applyFill="1" applyBorder="1" applyAlignment="1">
      <alignment vertical="center"/>
    </xf>
    <xf numFmtId="164" fontId="8" fillId="2" borderId="3" xfId="4" applyNumberFormat="1" applyFont="1" applyFill="1" applyBorder="1" applyAlignment="1">
      <alignment vertical="center"/>
    </xf>
    <xf numFmtId="164" fontId="8" fillId="2" borderId="1" xfId="4" applyNumberFormat="1" applyFont="1" applyFill="1" applyBorder="1" applyAlignment="1">
      <alignment vertical="center"/>
    </xf>
    <xf numFmtId="0" fontId="28" fillId="0" borderId="0" xfId="2" applyFont="1" applyAlignment="1">
      <alignment vertical="center"/>
    </xf>
    <xf numFmtId="0" fontId="31" fillId="0" borderId="0" xfId="10" applyFont="1" applyAlignment="1">
      <alignment vertical="center"/>
    </xf>
    <xf numFmtId="0" fontId="4" fillId="0" borderId="0" xfId="10" applyFont="1" applyAlignment="1">
      <alignment vertical="center"/>
    </xf>
    <xf numFmtId="0" fontId="32" fillId="0" borderId="0" xfId="10" applyFont="1" applyAlignment="1">
      <alignment vertical="center"/>
    </xf>
    <xf numFmtId="0" fontId="33" fillId="0" borderId="0" xfId="10" applyFont="1" applyAlignment="1">
      <alignment vertical="center"/>
    </xf>
    <xf numFmtId="0" fontId="34" fillId="0" borderId="0" xfId="10" applyFont="1" applyAlignment="1">
      <alignment horizontal="right" vertical="center"/>
    </xf>
    <xf numFmtId="0" fontId="4" fillId="0" borderId="0" xfId="10" applyFont="1" applyAlignment="1">
      <alignment horizontal="right" vertical="center"/>
    </xf>
    <xf numFmtId="0" fontId="9" fillId="3" borderId="1" xfId="10" applyFont="1" applyFill="1" applyBorder="1" applyAlignment="1">
      <alignment horizontal="right" vertical="center"/>
    </xf>
    <xf numFmtId="164" fontId="4" fillId="0" borderId="0" xfId="10" applyNumberFormat="1" applyFont="1" applyAlignment="1">
      <alignment vertical="center"/>
    </xf>
    <xf numFmtId="0" fontId="34" fillId="0" borderId="1" xfId="10" applyFont="1" applyBorder="1" applyAlignment="1">
      <alignment vertical="center"/>
    </xf>
    <xf numFmtId="0" fontId="4" fillId="0" borderId="1" xfId="10" applyFont="1" applyBorder="1" applyAlignment="1">
      <alignment vertical="center"/>
    </xf>
    <xf numFmtId="0" fontId="4" fillId="0" borderId="1" xfId="10" applyFont="1" applyBorder="1" applyAlignment="1">
      <alignment horizontal="right" vertical="center"/>
    </xf>
    <xf numFmtId="0" fontId="9" fillId="3" borderId="0" xfId="10" applyFont="1" applyFill="1" applyAlignment="1">
      <alignment horizontal="right" vertical="center"/>
    </xf>
    <xf numFmtId="0" fontId="9" fillId="3" borderId="4" xfId="10" applyFont="1" applyFill="1" applyBorder="1" applyAlignment="1">
      <alignment horizontal="right" vertical="center"/>
    </xf>
    <xf numFmtId="168" fontId="4" fillId="0" borderId="0" xfId="10" applyNumberFormat="1" applyFont="1" applyAlignment="1">
      <alignment horizontal="right" vertical="center"/>
    </xf>
    <xf numFmtId="0" fontId="9" fillId="3" borderId="0" xfId="10" applyFont="1" applyFill="1" applyAlignment="1">
      <alignment vertical="center"/>
    </xf>
    <xf numFmtId="0" fontId="19" fillId="3" borderId="3" xfId="10" applyFont="1" applyFill="1" applyBorder="1" applyAlignment="1">
      <alignment vertical="center"/>
    </xf>
    <xf numFmtId="0" fontId="35" fillId="0" borderId="0" xfId="10" applyFont="1" applyAlignment="1">
      <alignment vertical="center"/>
    </xf>
    <xf numFmtId="0" fontId="4" fillId="0" borderId="0" xfId="10" applyFont="1" applyAlignment="1">
      <alignment horizontal="left" vertical="center"/>
    </xf>
    <xf numFmtId="169" fontId="4" fillId="0" borderId="0" xfId="10" applyNumberFormat="1" applyFont="1" applyAlignment="1">
      <alignment vertical="center"/>
    </xf>
    <xf numFmtId="0" fontId="36" fillId="0" borderId="0" xfId="10" applyFont="1" applyAlignment="1">
      <alignment vertical="center"/>
    </xf>
    <xf numFmtId="0" fontId="9" fillId="3" borderId="1" xfId="10" applyFont="1" applyFill="1" applyBorder="1" applyAlignment="1">
      <alignment vertical="center"/>
    </xf>
    <xf numFmtId="0" fontId="19" fillId="3" borderId="4" xfId="10" applyFont="1" applyFill="1" applyBorder="1" applyAlignment="1">
      <alignment vertical="center"/>
    </xf>
    <xf numFmtId="0" fontId="37" fillId="3" borderId="1" xfId="10" applyFont="1" applyFill="1" applyBorder="1" applyAlignment="1">
      <alignment horizontal="right" vertical="center"/>
    </xf>
    <xf numFmtId="2" fontId="17" fillId="0" borderId="0" xfId="10" applyNumberFormat="1" applyFont="1" applyAlignment="1">
      <alignment vertical="center"/>
    </xf>
    <xf numFmtId="2" fontId="4" fillId="0" borderId="0" xfId="10" applyNumberFormat="1" applyFont="1" applyAlignment="1">
      <alignment horizontal="right" vertical="center"/>
    </xf>
    <xf numFmtId="169" fontId="17" fillId="0" borderId="0" xfId="10" applyNumberFormat="1" applyFont="1" applyAlignment="1">
      <alignment vertical="center"/>
    </xf>
    <xf numFmtId="10" fontId="4" fillId="4" borderId="0" xfId="7" applyNumberFormat="1" applyFont="1" applyFill="1" applyAlignment="1">
      <alignment vertical="center"/>
    </xf>
    <xf numFmtId="0" fontId="4" fillId="0" borderId="1" xfId="10" applyFont="1" applyBorder="1" applyAlignment="1">
      <alignment horizontal="left" vertical="center"/>
    </xf>
    <xf numFmtId="10" fontId="4" fillId="4" borderId="1" xfId="7" applyNumberFormat="1" applyFont="1" applyFill="1" applyBorder="1" applyAlignment="1">
      <alignment vertical="center"/>
    </xf>
    <xf numFmtId="10" fontId="4" fillId="2" borderId="0" xfId="7" applyNumberFormat="1" applyFont="1" applyFill="1" applyAlignment="1">
      <alignment vertical="center"/>
    </xf>
    <xf numFmtId="10" fontId="4" fillId="2" borderId="1" xfId="7" applyNumberFormat="1" applyFont="1" applyFill="1" applyBorder="1" applyAlignment="1">
      <alignment vertical="center"/>
    </xf>
    <xf numFmtId="0" fontId="38" fillId="0" borderId="0" xfId="10" applyFont="1" applyAlignment="1">
      <alignment horizontal="right" vertical="center"/>
    </xf>
    <xf numFmtId="10" fontId="4" fillId="2" borderId="0" xfId="10" applyNumberFormat="1" applyFont="1" applyFill="1" applyAlignment="1">
      <alignment vertical="center"/>
    </xf>
    <xf numFmtId="164" fontId="4" fillId="2" borderId="0" xfId="10" applyNumberFormat="1" applyFont="1" applyFill="1" applyAlignment="1">
      <alignment vertical="center"/>
    </xf>
    <xf numFmtId="2" fontId="17" fillId="2" borderId="0" xfId="10" applyNumberFormat="1" applyFont="1" applyFill="1" applyAlignment="1">
      <alignment horizontal="right" vertical="center"/>
    </xf>
    <xf numFmtId="2" fontId="4" fillId="2" borderId="3" xfId="10" applyNumberFormat="1" applyFont="1" applyFill="1" applyBorder="1" applyAlignment="1">
      <alignment horizontal="right" vertical="center"/>
    </xf>
    <xf numFmtId="2" fontId="17" fillId="2" borderId="0" xfId="10" applyNumberFormat="1" applyFont="1" applyFill="1" applyAlignment="1">
      <alignment vertical="center"/>
    </xf>
    <xf numFmtId="2" fontId="4" fillId="2" borderId="3" xfId="10" applyNumberFormat="1" applyFont="1" applyFill="1" applyBorder="1" applyAlignment="1">
      <alignment vertical="center"/>
    </xf>
    <xf numFmtId="10" fontId="4" fillId="2" borderId="0" xfId="1" applyNumberFormat="1" applyFont="1" applyFill="1" applyAlignment="1">
      <alignment vertical="center"/>
    </xf>
    <xf numFmtId="164" fontId="8" fillId="2" borderId="7" xfId="4" applyNumberFormat="1" applyFont="1" applyFill="1" applyBorder="1" applyAlignment="1">
      <alignment horizontal="right" vertical="center"/>
    </xf>
    <xf numFmtId="0" fontId="39" fillId="0" borderId="4" xfId="6" applyFont="1" applyBorder="1" applyAlignment="1">
      <alignment horizontal="right" vertical="center" wrapText="1"/>
    </xf>
    <xf numFmtId="0" fontId="40" fillId="0" borderId="11" xfId="6" applyFont="1" applyBorder="1" applyAlignment="1">
      <alignment vertical="center"/>
    </xf>
    <xf numFmtId="0" fontId="40" fillId="0" borderId="12" xfId="6" applyFont="1" applyBorder="1" applyAlignment="1">
      <alignment vertical="center"/>
    </xf>
    <xf numFmtId="164" fontId="8" fillId="2" borderId="0" xfId="3" applyNumberFormat="1" applyFont="1" applyFill="1" applyBorder="1" applyAlignment="1">
      <alignment vertical="center"/>
    </xf>
    <xf numFmtId="164" fontId="8" fillId="2" borderId="0" xfId="3" applyNumberFormat="1" applyFont="1" applyFill="1" applyBorder="1" applyAlignment="1">
      <alignment horizontal="right" vertical="center" wrapText="1"/>
    </xf>
    <xf numFmtId="164" fontId="17" fillId="2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9" fillId="3" borderId="1" xfId="10" applyFont="1" applyFill="1" applyBorder="1" applyAlignment="1">
      <alignment horizontal="left" vertical="center"/>
    </xf>
    <xf numFmtId="0" fontId="34" fillId="0" borderId="0" xfId="10" applyFont="1" applyAlignment="1">
      <alignment horizontal="left" vertical="center"/>
    </xf>
    <xf numFmtId="0" fontId="8" fillId="0" borderId="3" xfId="3" applyNumberFormat="1" applyFont="1" applyFill="1" applyBorder="1" applyAlignment="1">
      <alignment horizontal="right" vertical="center" wrapText="1"/>
    </xf>
    <xf numFmtId="0" fontId="8" fillId="0" borderId="3" xfId="3" applyNumberFormat="1" applyFont="1" applyFill="1" applyBorder="1" applyAlignment="1">
      <alignment horizontal="right" vertical="center"/>
    </xf>
    <xf numFmtId="2" fontId="4" fillId="0" borderId="0" xfId="10" applyNumberFormat="1" applyFont="1" applyAlignment="1">
      <alignment vertical="center"/>
    </xf>
    <xf numFmtId="10" fontId="4" fillId="2" borderId="1" xfId="10" applyNumberFormat="1" applyFont="1" applyFill="1" applyBorder="1" applyAlignment="1">
      <alignment vertical="center"/>
    </xf>
    <xf numFmtId="0" fontId="53" fillId="0" borderId="0" xfId="10" applyFont="1" applyAlignment="1">
      <alignment horizontal="left" vertical="center"/>
    </xf>
    <xf numFmtId="0" fontId="8" fillId="0" borderId="1" xfId="6" applyFont="1" applyBorder="1" applyAlignment="1">
      <alignment horizontal="right" vertical="center"/>
    </xf>
    <xf numFmtId="0" fontId="19" fillId="5" borderId="1" xfId="6" applyFont="1" applyFill="1" applyBorder="1" applyAlignment="1">
      <alignment vertical="center"/>
    </xf>
    <xf numFmtId="0" fontId="23" fillId="5" borderId="4" xfId="6" applyFont="1" applyFill="1" applyBorder="1" applyAlignment="1">
      <alignment horizontal="right" vertical="center"/>
    </xf>
    <xf numFmtId="0" fontId="9" fillId="5" borderId="1" xfId="6" applyFont="1" applyFill="1" applyBorder="1" applyAlignment="1">
      <alignment vertical="center"/>
    </xf>
    <xf numFmtId="164" fontId="7" fillId="2" borderId="0" xfId="6" applyNumberFormat="1" applyFont="1" applyFill="1" applyAlignment="1">
      <alignment vertical="center"/>
    </xf>
    <xf numFmtId="0" fontId="9" fillId="3" borderId="1" xfId="4" applyFont="1" applyFill="1" applyBorder="1" applyAlignment="1">
      <alignment horizontal="right" vertical="center"/>
    </xf>
    <xf numFmtId="0" fontId="9" fillId="3" borderId="2" xfId="4" applyFont="1" applyFill="1" applyBorder="1" applyAlignment="1">
      <alignment horizontal="left" vertical="center"/>
    </xf>
    <xf numFmtId="0" fontId="9" fillId="3" borderId="8" xfId="4" applyFont="1" applyFill="1" applyBorder="1" applyAlignment="1">
      <alignment horizontal="right" vertical="center"/>
    </xf>
    <xf numFmtId="0" fontId="9" fillId="3" borderId="2" xfId="4" applyFont="1" applyFill="1" applyBorder="1" applyAlignment="1">
      <alignment horizontal="right" vertical="center"/>
    </xf>
    <xf numFmtId="0" fontId="9" fillId="3" borderId="2" xfId="4" applyFont="1" applyFill="1" applyBorder="1" applyAlignment="1">
      <alignment vertical="center" wrapText="1"/>
    </xf>
    <xf numFmtId="0" fontId="9" fillId="3" borderId="1" xfId="5" applyFont="1" applyFill="1" applyBorder="1" applyAlignment="1">
      <alignment horizontal="right" vertical="center"/>
    </xf>
    <xf numFmtId="0" fontId="9" fillId="3" borderId="4" xfId="4" applyFont="1" applyFill="1" applyBorder="1" applyAlignment="1">
      <alignment horizontal="left" vertical="center"/>
    </xf>
    <xf numFmtId="0" fontId="9" fillId="3" borderId="2" xfId="4" applyFont="1" applyFill="1" applyBorder="1" applyAlignment="1">
      <alignment horizontal="left" vertical="center" wrapText="1"/>
    </xf>
    <xf numFmtId="0" fontId="55" fillId="0" borderId="0" xfId="10" applyFont="1" applyAlignment="1">
      <alignment vertical="center"/>
    </xf>
    <xf numFmtId="166" fontId="4" fillId="2" borderId="1" xfId="11" applyNumberFormat="1" applyFont="1" applyFill="1" applyBorder="1" applyAlignment="1">
      <alignment vertical="center"/>
    </xf>
    <xf numFmtId="10" fontId="4" fillId="0" borderId="0" xfId="10" applyNumberFormat="1" applyFont="1" applyAlignment="1">
      <alignment horizontal="right" vertical="center"/>
    </xf>
    <xf numFmtId="0" fontId="4" fillId="2" borderId="0" xfId="10" applyFont="1" applyFill="1" applyAlignment="1">
      <alignment horizontal="right" vertical="center"/>
    </xf>
    <xf numFmtId="10" fontId="4" fillId="2" borderId="0" xfId="12" applyNumberFormat="1" applyFont="1" applyFill="1" applyAlignment="1">
      <alignment horizontal="right" vertical="center"/>
    </xf>
    <xf numFmtId="10" fontId="4" fillId="2" borderId="0" xfId="10" applyNumberFormat="1" applyFont="1" applyFill="1" applyAlignment="1">
      <alignment horizontal="right" vertical="center"/>
    </xf>
    <xf numFmtId="168" fontId="4" fillId="2" borderId="0" xfId="10" applyNumberFormat="1" applyFont="1" applyFill="1" applyAlignment="1">
      <alignment horizontal="right" vertical="center"/>
    </xf>
    <xf numFmtId="10" fontId="34" fillId="2" borderId="7" xfId="10" applyNumberFormat="1" applyFont="1" applyFill="1" applyBorder="1" applyAlignment="1">
      <alignment vertical="center"/>
    </xf>
    <xf numFmtId="0" fontId="9" fillId="3" borderId="5" xfId="10" applyFont="1" applyFill="1" applyBorder="1" applyAlignment="1">
      <alignment horizontal="left" vertical="center"/>
    </xf>
    <xf numFmtId="0" fontId="19" fillId="3" borderId="5" xfId="10" applyFont="1" applyFill="1" applyBorder="1" applyAlignment="1">
      <alignment vertical="center"/>
    </xf>
    <xf numFmtId="0" fontId="19" fillId="3" borderId="1" xfId="10" applyFont="1" applyFill="1" applyBorder="1" applyAlignment="1">
      <alignment vertical="center"/>
    </xf>
    <xf numFmtId="168" fontId="4" fillId="2" borderId="3" xfId="10" applyNumberFormat="1" applyFont="1" applyFill="1" applyBorder="1" applyAlignment="1">
      <alignment horizontal="right" vertical="center"/>
    </xf>
    <xf numFmtId="168" fontId="34" fillId="2" borderId="1" xfId="10" applyNumberFormat="1" applyFont="1" applyFill="1" applyBorder="1" applyAlignment="1">
      <alignment horizontal="right" vertical="center"/>
    </xf>
    <xf numFmtId="168" fontId="34" fillId="2" borderId="4" xfId="10" applyNumberFormat="1" applyFont="1" applyFill="1" applyBorder="1" applyAlignment="1">
      <alignment horizontal="right" vertical="center"/>
    </xf>
    <xf numFmtId="164" fontId="34" fillId="2" borderId="6" xfId="10" applyNumberFormat="1" applyFont="1" applyFill="1" applyBorder="1" applyAlignment="1">
      <alignment vertical="center"/>
    </xf>
    <xf numFmtId="164" fontId="34" fillId="2" borderId="1" xfId="10" applyNumberFormat="1" applyFont="1" applyFill="1" applyBorder="1" applyAlignment="1">
      <alignment vertical="center"/>
    </xf>
    <xf numFmtId="2" fontId="0" fillId="0" borderId="0" xfId="0" applyNumberFormat="1"/>
    <xf numFmtId="2" fontId="7" fillId="2" borderId="0" xfId="6" applyNumberFormat="1" applyFont="1" applyFill="1" applyAlignment="1">
      <alignment vertical="center"/>
    </xf>
    <xf numFmtId="2" fontId="7" fillId="0" borderId="0" xfId="6" applyNumberFormat="1" applyFont="1" applyAlignment="1">
      <alignment vertical="center"/>
    </xf>
    <xf numFmtId="164" fontId="7" fillId="0" borderId="0" xfId="3" applyNumberFormat="1" applyFont="1" applyFill="1" applyAlignment="1">
      <alignment vertical="center"/>
    </xf>
    <xf numFmtId="166" fontId="7" fillId="2" borderId="13" xfId="3" applyNumberFormat="1" applyFont="1" applyFill="1" applyBorder="1" applyAlignment="1">
      <alignment vertical="center"/>
    </xf>
    <xf numFmtId="0" fontId="19" fillId="3" borderId="0" xfId="10" applyFont="1" applyFill="1" applyAlignment="1">
      <alignment vertical="center"/>
    </xf>
    <xf numFmtId="10" fontId="4" fillId="2" borderId="1" xfId="1" applyNumberFormat="1" applyFont="1" applyFill="1" applyBorder="1" applyAlignment="1">
      <alignment vertical="center"/>
    </xf>
    <xf numFmtId="0" fontId="7" fillId="2" borderId="0" xfId="6" applyFont="1" applyFill="1" applyAlignment="1">
      <alignment vertical="center"/>
    </xf>
    <xf numFmtId="0" fontId="8" fillId="0" borderId="0" xfId="3" applyNumberFormat="1" applyFont="1" applyFill="1" applyBorder="1" applyAlignment="1">
      <alignment horizontal="right" vertical="center"/>
    </xf>
    <xf numFmtId="0" fontId="9" fillId="3" borderId="0" xfId="6" applyFont="1" applyFill="1" applyAlignment="1">
      <alignment vertical="center"/>
    </xf>
    <xf numFmtId="0" fontId="8" fillId="0" borderId="12" xfId="6" applyFont="1" applyBorder="1" applyAlignment="1">
      <alignment vertical="center"/>
    </xf>
    <xf numFmtId="0" fontId="8" fillId="0" borderId="3" xfId="6" applyFont="1" applyBorder="1" applyAlignment="1">
      <alignment vertical="center"/>
    </xf>
    <xf numFmtId="0" fontId="8" fillId="0" borderId="4" xfId="6" applyFont="1" applyBorder="1" applyAlignment="1">
      <alignment vertical="center"/>
    </xf>
    <xf numFmtId="0" fontId="9" fillId="3" borderId="2" xfId="6" applyFont="1" applyFill="1" applyBorder="1" applyAlignment="1">
      <alignment horizontal="right" vertical="center"/>
    </xf>
    <xf numFmtId="164" fontId="8" fillId="2" borderId="3" xfId="3" applyNumberFormat="1" applyFont="1" applyFill="1" applyBorder="1" applyAlignment="1">
      <alignment horizontal="right" vertical="center" wrapText="1"/>
    </xf>
    <xf numFmtId="164" fontId="7" fillId="2" borderId="3" xfId="3" applyNumberFormat="1" applyFont="1" applyFill="1" applyBorder="1" applyAlignment="1">
      <alignment vertical="center"/>
    </xf>
    <xf numFmtId="164" fontId="7" fillId="2" borderId="4" xfId="3" applyNumberFormat="1" applyFont="1" applyFill="1" applyBorder="1" applyAlignment="1">
      <alignment vertical="center"/>
    </xf>
    <xf numFmtId="164" fontId="7" fillId="2" borderId="3" xfId="9" applyNumberFormat="1" applyFont="1" applyFill="1" applyBorder="1" applyAlignment="1">
      <alignment vertical="center"/>
    </xf>
    <xf numFmtId="164" fontId="7" fillId="2" borderId="4" xfId="9" applyNumberFormat="1" applyFont="1" applyFill="1" applyBorder="1" applyAlignment="1">
      <alignment vertical="center"/>
    </xf>
    <xf numFmtId="164" fontId="8" fillId="2" borderId="3" xfId="9" applyNumberFormat="1" applyFont="1" applyFill="1" applyBorder="1" applyAlignment="1">
      <alignment vertical="center"/>
    </xf>
    <xf numFmtId="164" fontId="7" fillId="2" borderId="3" xfId="6" applyNumberFormat="1" applyFont="1" applyFill="1" applyBorder="1" applyAlignment="1">
      <alignment vertical="center"/>
    </xf>
    <xf numFmtId="164" fontId="7" fillId="2" borderId="4" xfId="6" applyNumberFormat="1" applyFont="1" applyFill="1" applyBorder="1" applyAlignment="1">
      <alignment vertical="center"/>
    </xf>
    <xf numFmtId="0" fontId="7" fillId="2" borderId="3" xfId="6" applyFont="1" applyFill="1" applyBorder="1" applyAlignment="1">
      <alignment vertical="center"/>
    </xf>
    <xf numFmtId="0" fontId="7" fillId="2" borderId="4" xfId="6" applyFont="1" applyFill="1" applyBorder="1" applyAlignment="1">
      <alignment vertical="center"/>
    </xf>
    <xf numFmtId="164" fontId="9" fillId="3" borderId="3" xfId="6" applyNumberFormat="1" applyFont="1" applyFill="1" applyBorder="1" applyAlignment="1">
      <alignment vertical="center"/>
    </xf>
    <xf numFmtId="0" fontId="9" fillId="3" borderId="2" xfId="6" applyFont="1" applyFill="1" applyBorder="1" applyAlignment="1">
      <alignment horizontal="right" vertical="center" wrapText="1"/>
    </xf>
    <xf numFmtId="164" fontId="7" fillId="2" borderId="3" xfId="3" applyNumberFormat="1" applyFont="1" applyFill="1" applyBorder="1" applyAlignment="1">
      <alignment horizontal="right" vertical="center"/>
    </xf>
    <xf numFmtId="164" fontId="8" fillId="2" borderId="4" xfId="6" applyNumberFormat="1" applyFont="1" applyFill="1" applyBorder="1" applyAlignment="1">
      <alignment vertical="center"/>
    </xf>
    <xf numFmtId="0" fontId="7" fillId="2" borderId="3" xfId="6" applyFont="1" applyFill="1" applyBorder="1" applyAlignment="1">
      <alignment horizontal="right" vertical="center"/>
    </xf>
    <xf numFmtId="0" fontId="7" fillId="2" borderId="4" xfId="6" applyFont="1" applyFill="1" applyBorder="1" applyAlignment="1">
      <alignment horizontal="right" vertical="center"/>
    </xf>
    <xf numFmtId="10" fontId="7" fillId="2" borderId="3" xfId="7" applyNumberFormat="1" applyFont="1" applyFill="1" applyBorder="1" applyAlignment="1">
      <alignment vertical="center"/>
    </xf>
    <xf numFmtId="10" fontId="7" fillId="2" borderId="4" xfId="7" applyNumberFormat="1" applyFont="1" applyFill="1" applyBorder="1" applyAlignment="1">
      <alignment vertical="center"/>
    </xf>
    <xf numFmtId="0" fontId="32" fillId="2" borderId="0" xfId="10" applyFont="1" applyFill="1" applyAlignment="1">
      <alignment vertical="center"/>
    </xf>
    <xf numFmtId="0" fontId="56" fillId="0" borderId="0" xfId="4" applyFont="1" applyAlignment="1">
      <alignment vertical="center"/>
    </xf>
    <xf numFmtId="0" fontId="2" fillId="0" borderId="0" xfId="4"/>
    <xf numFmtId="10" fontId="7" fillId="0" borderId="0" xfId="4" applyNumberFormat="1" applyFont="1" applyAlignment="1">
      <alignment vertical="center"/>
    </xf>
    <xf numFmtId="8" fontId="8" fillId="6" borderId="0" xfId="13" applyNumberFormat="1" applyFont="1" applyFill="1" applyBorder="1" applyAlignment="1">
      <alignment horizontal="right" vertical="center"/>
    </xf>
    <xf numFmtId="169" fontId="8" fillId="6" borderId="0" xfId="4" applyNumberFormat="1" applyFont="1" applyFill="1" applyAlignment="1">
      <alignment vertical="center"/>
    </xf>
    <xf numFmtId="0" fontId="8" fillId="0" borderId="1" xfId="4" applyFont="1" applyBorder="1" applyAlignment="1">
      <alignment horizontal="right" vertical="center"/>
    </xf>
    <xf numFmtId="0" fontId="27" fillId="0" borderId="1" xfId="4" applyFont="1" applyBorder="1" applyAlignment="1">
      <alignment vertical="center"/>
    </xf>
    <xf numFmtId="0" fontId="57" fillId="0" borderId="0" xfId="4" applyFont="1" applyAlignment="1">
      <alignment vertical="center"/>
    </xf>
    <xf numFmtId="170" fontId="8" fillId="6" borderId="0" xfId="14" applyNumberFormat="1" applyFont="1" applyFill="1" applyAlignment="1">
      <alignment vertical="center"/>
    </xf>
    <xf numFmtId="0" fontId="27" fillId="0" borderId="0" xfId="4" applyFont="1" applyAlignment="1">
      <alignment vertical="center"/>
    </xf>
    <xf numFmtId="170" fontId="7" fillId="6" borderId="0" xfId="14" applyNumberFormat="1" applyFont="1" applyFill="1" applyAlignment="1">
      <alignment vertical="center"/>
    </xf>
    <xf numFmtId="164" fontId="8" fillId="2" borderId="10" xfId="4" applyNumberFormat="1" applyFont="1" applyFill="1" applyBorder="1" applyAlignment="1">
      <alignment horizontal="right" vertical="center"/>
    </xf>
    <xf numFmtId="164" fontId="8" fillId="2" borderId="4" xfId="4" applyNumberFormat="1" applyFont="1" applyFill="1" applyBorder="1" applyAlignment="1">
      <alignment vertical="center"/>
    </xf>
    <xf numFmtId="0" fontId="8" fillId="0" borderId="12" xfId="4" applyFont="1" applyBorder="1" applyAlignment="1">
      <alignment vertical="center"/>
    </xf>
    <xf numFmtId="0" fontId="17" fillId="0" borderId="4" xfId="5" applyFont="1" applyBorder="1" applyAlignment="1">
      <alignment vertical="center"/>
    </xf>
    <xf numFmtId="0" fontId="17" fillId="0" borderId="3" xfId="4" applyFont="1" applyBorder="1" applyAlignment="1">
      <alignment vertical="center"/>
    </xf>
    <xf numFmtId="0" fontId="58" fillId="0" borderId="3" xfId="0" applyFont="1" applyBorder="1" applyAlignment="1">
      <alignment vertical="center"/>
    </xf>
    <xf numFmtId="0" fontId="58" fillId="0" borderId="4" xfId="0" applyFont="1" applyBorder="1" applyAlignment="1">
      <alignment vertical="center"/>
    </xf>
    <xf numFmtId="0" fontId="7" fillId="0" borderId="3" xfId="4" applyFont="1" applyBorder="1" applyAlignment="1">
      <alignment vertical="center"/>
    </xf>
    <xf numFmtId="164" fontId="17" fillId="2" borderId="10" xfId="4" applyNumberFormat="1" applyFont="1" applyFill="1" applyBorder="1" applyAlignment="1">
      <alignment vertical="center"/>
    </xf>
    <xf numFmtId="166" fontId="27" fillId="6" borderId="1" xfId="13" applyNumberFormat="1" applyFont="1" applyFill="1" applyBorder="1" applyAlignment="1">
      <alignment vertical="center"/>
    </xf>
    <xf numFmtId="166" fontId="57" fillId="6" borderId="0" xfId="13" applyNumberFormat="1" applyFont="1" applyFill="1" applyBorder="1" applyAlignment="1">
      <alignment vertical="center"/>
    </xf>
    <xf numFmtId="0" fontId="8" fillId="2" borderId="0" xfId="10" applyFont="1" applyFill="1" applyAlignment="1">
      <alignment horizontal="right" vertical="center"/>
    </xf>
    <xf numFmtId="10" fontId="8" fillId="2" borderId="0" xfId="12" applyNumberFormat="1" applyFont="1" applyFill="1" applyAlignment="1">
      <alignment horizontal="right" vertical="center"/>
    </xf>
    <xf numFmtId="10" fontId="7" fillId="0" borderId="0" xfId="6" applyNumberFormat="1" applyFont="1" applyAlignment="1">
      <alignment vertical="center"/>
    </xf>
    <xf numFmtId="2" fontId="7" fillId="0" borderId="6" xfId="5" applyNumberFormat="1" applyFont="1" applyBorder="1" applyAlignment="1">
      <alignment vertical="center"/>
    </xf>
    <xf numFmtId="10" fontId="27" fillId="2" borderId="1" xfId="8" applyNumberFormat="1" applyFont="1" applyFill="1" applyBorder="1" applyAlignment="1">
      <alignment vertical="center"/>
    </xf>
    <xf numFmtId="10" fontId="27" fillId="2" borderId="4" xfId="8" applyNumberFormat="1" applyFont="1" applyFill="1" applyBorder="1" applyAlignment="1">
      <alignment vertical="center"/>
    </xf>
    <xf numFmtId="10" fontId="27" fillId="0" borderId="0" xfId="8" applyNumberFormat="1" applyFont="1" applyFill="1" applyBorder="1" applyAlignment="1">
      <alignment vertical="center"/>
    </xf>
    <xf numFmtId="2" fontId="0" fillId="0" borderId="1" xfId="0" applyNumberFormat="1" applyBorder="1"/>
    <xf numFmtId="10" fontId="7" fillId="2" borderId="0" xfId="6" applyNumberFormat="1" applyFont="1" applyFill="1" applyAlignment="1">
      <alignment vertical="center"/>
    </xf>
    <xf numFmtId="10" fontId="7" fillId="2" borderId="1" xfId="6" applyNumberFormat="1" applyFont="1" applyFill="1" applyBorder="1" applyAlignment="1">
      <alignment vertical="center"/>
    </xf>
    <xf numFmtId="0" fontId="23" fillId="5" borderId="0" xfId="6" applyFont="1" applyFill="1" applyAlignment="1">
      <alignment horizontal="right" vertical="center"/>
    </xf>
    <xf numFmtId="10" fontId="7" fillId="0" borderId="12" xfId="6" applyNumberFormat="1" applyFont="1" applyBorder="1" applyAlignment="1">
      <alignment vertical="center"/>
    </xf>
    <xf numFmtId="10" fontId="27" fillId="0" borderId="3" xfId="8" applyNumberFormat="1" applyFont="1" applyFill="1" applyBorder="1" applyAlignment="1">
      <alignment vertical="center"/>
    </xf>
    <xf numFmtId="0" fontId="8" fillId="0" borderId="0" xfId="6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9" fillId="0" borderId="1" xfId="6" applyFont="1" applyBorder="1" applyAlignment="1">
      <alignment horizontal="right" vertical="center" wrapText="1"/>
    </xf>
    <xf numFmtId="164" fontId="7" fillId="2" borderId="16" xfId="4" applyNumberFormat="1" applyFont="1" applyFill="1" applyBorder="1" applyAlignment="1">
      <alignment horizontal="right" vertical="center"/>
    </xf>
    <xf numFmtId="164" fontId="7" fillId="2" borderId="12" xfId="4" applyNumberFormat="1" applyFont="1" applyFill="1" applyBorder="1" applyAlignment="1">
      <alignment horizontal="right" vertical="center"/>
    </xf>
    <xf numFmtId="164" fontId="7" fillId="2" borderId="9" xfId="4" applyNumberFormat="1" applyFont="1" applyFill="1" applyBorder="1" applyAlignment="1">
      <alignment horizontal="right" vertical="center"/>
    </xf>
    <xf numFmtId="164" fontId="7" fillId="2" borderId="3" xfId="4" applyNumberFormat="1" applyFont="1" applyFill="1" applyBorder="1" applyAlignment="1">
      <alignment horizontal="right" vertical="center"/>
    </xf>
    <xf numFmtId="164" fontId="7" fillId="2" borderId="10" xfId="4" applyNumberFormat="1" applyFont="1" applyFill="1" applyBorder="1" applyAlignment="1">
      <alignment horizontal="right" vertical="center"/>
    </xf>
    <xf numFmtId="164" fontId="7" fillId="2" borderId="4" xfId="4" applyNumberFormat="1" applyFont="1" applyFill="1" applyBorder="1" applyAlignment="1">
      <alignment horizontal="right" vertical="center"/>
    </xf>
    <xf numFmtId="164" fontId="7" fillId="2" borderId="9" xfId="4" applyNumberFormat="1" applyFont="1" applyFill="1" applyBorder="1" applyAlignment="1">
      <alignment vertical="center"/>
    </xf>
    <xf numFmtId="10" fontId="9" fillId="3" borderId="3" xfId="1" applyNumberFormat="1" applyFont="1" applyFill="1" applyBorder="1" applyAlignment="1">
      <alignment vertical="center"/>
    </xf>
    <xf numFmtId="164" fontId="8" fillId="2" borderId="3" xfId="3" applyNumberFormat="1" applyFont="1" applyFill="1" applyBorder="1" applyAlignment="1">
      <alignment vertical="center"/>
    </xf>
    <xf numFmtId="0" fontId="9" fillId="3" borderId="4" xfId="6" applyFont="1" applyFill="1" applyBorder="1" applyAlignment="1">
      <alignment horizontal="right" vertical="center" wrapText="1"/>
    </xf>
    <xf numFmtId="0" fontId="62" fillId="0" borderId="0" xfId="0" applyFont="1"/>
    <xf numFmtId="2" fontId="7" fillId="2" borderId="1" xfId="6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vertical="center"/>
    </xf>
    <xf numFmtId="164" fontId="7" fillId="2" borderId="10" xfId="3" applyNumberFormat="1" applyFont="1" applyFill="1" applyBorder="1" applyAlignment="1">
      <alignment vertical="center"/>
    </xf>
    <xf numFmtId="0" fontId="7" fillId="2" borderId="16" xfId="6" applyFont="1" applyFill="1" applyBorder="1" applyAlignment="1">
      <alignment horizontal="right" vertical="center"/>
    </xf>
    <xf numFmtId="0" fontId="7" fillId="2" borderId="9" xfId="6" applyFont="1" applyFill="1" applyBorder="1" applyAlignment="1">
      <alignment horizontal="right" vertical="center"/>
    </xf>
    <xf numFmtId="0" fontId="7" fillId="2" borderId="10" xfId="6" applyFont="1" applyFill="1" applyBorder="1" applyAlignment="1">
      <alignment horizontal="right" vertical="center"/>
    </xf>
    <xf numFmtId="0" fontId="8" fillId="0" borderId="0" xfId="5" applyFont="1" applyAlignment="1">
      <alignment horizontal="left" vertical="center"/>
    </xf>
    <xf numFmtId="0" fontId="8" fillId="0" borderId="5" xfId="6" applyFont="1" applyBorder="1" applyAlignment="1">
      <alignment horizontal="right" vertical="center"/>
    </xf>
    <xf numFmtId="166" fontId="7" fillId="2" borderId="0" xfId="6" applyNumberFormat="1" applyFont="1" applyFill="1" applyAlignment="1">
      <alignment vertical="center"/>
    </xf>
    <xf numFmtId="166" fontId="8" fillId="0" borderId="5" xfId="6" applyNumberFormat="1" applyFont="1" applyBorder="1" applyAlignment="1">
      <alignment horizontal="right" vertical="center"/>
    </xf>
    <xf numFmtId="166" fontId="8" fillId="0" borderId="3" xfId="3" applyNumberFormat="1" applyFont="1" applyFill="1" applyBorder="1" applyAlignment="1">
      <alignment horizontal="right" vertical="center"/>
    </xf>
    <xf numFmtId="0" fontId="8" fillId="0" borderId="17" xfId="6" applyFont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4" fontId="7" fillId="2" borderId="13" xfId="5" applyNumberFormat="1" applyFont="1" applyFill="1" applyBorder="1" applyAlignment="1">
      <alignment horizontal="right" vertical="center"/>
    </xf>
    <xf numFmtId="0" fontId="7" fillId="2" borderId="0" xfId="4" applyFont="1" applyFill="1" applyAlignment="1">
      <alignment vertical="center"/>
    </xf>
    <xf numFmtId="166" fontId="8" fillId="2" borderId="13" xfId="5" applyNumberFormat="1" applyFont="1" applyFill="1" applyBorder="1" applyAlignment="1">
      <alignment horizontal="right" vertical="center"/>
    </xf>
    <xf numFmtId="0" fontId="10" fillId="2" borderId="0" xfId="4" applyFont="1" applyFill="1" applyAlignment="1">
      <alignment horizontal="center" vertical="center"/>
    </xf>
    <xf numFmtId="2" fontId="63" fillId="0" borderId="13" xfId="5" applyNumberFormat="1" applyFont="1" applyBorder="1" applyAlignment="1">
      <alignment vertical="center"/>
    </xf>
    <xf numFmtId="2" fontId="63" fillId="0" borderId="6" xfId="5" applyNumberFormat="1" applyFont="1" applyBorder="1" applyAlignment="1">
      <alignment vertical="center"/>
    </xf>
    <xf numFmtId="2" fontId="63" fillId="0" borderId="13" xfId="6" applyNumberFormat="1" applyFont="1" applyBorder="1" applyAlignment="1">
      <alignment vertical="center"/>
    </xf>
    <xf numFmtId="2" fontId="64" fillId="0" borderId="13" xfId="8" applyNumberFormat="1" applyFont="1" applyBorder="1" applyAlignment="1">
      <alignment vertical="center"/>
    </xf>
    <xf numFmtId="2" fontId="64" fillId="0" borderId="6" xfId="8" applyNumberFormat="1" applyFont="1" applyBorder="1" applyAlignment="1">
      <alignment vertical="center"/>
    </xf>
    <xf numFmtId="2" fontId="64" fillId="0" borderId="0" xfId="0" applyNumberFormat="1" applyFont="1" applyAlignment="1">
      <alignment vertical="center"/>
    </xf>
    <xf numFmtId="2" fontId="64" fillId="0" borderId="1" xfId="0" applyNumberFormat="1" applyFont="1" applyBorder="1" applyAlignment="1">
      <alignment vertical="center"/>
    </xf>
    <xf numFmtId="2" fontId="4" fillId="2" borderId="0" xfId="10" applyNumberFormat="1" applyFont="1" applyFill="1" applyAlignment="1">
      <alignment vertical="center"/>
    </xf>
    <xf numFmtId="0" fontId="7" fillId="2" borderId="12" xfId="6" applyFont="1" applyFill="1" applyBorder="1" applyAlignment="1">
      <alignment horizontal="center" vertical="center"/>
    </xf>
    <xf numFmtId="0" fontId="7" fillId="2" borderId="3" xfId="6" applyFont="1" applyFill="1" applyBorder="1" applyAlignment="1">
      <alignment horizontal="center" vertical="center"/>
    </xf>
    <xf numFmtId="0" fontId="7" fillId="2" borderId="4" xfId="6" applyFont="1" applyFill="1" applyBorder="1" applyAlignment="1">
      <alignment horizontal="center" vertical="center"/>
    </xf>
    <xf numFmtId="0" fontId="23" fillId="3" borderId="0" xfId="6" applyFont="1" applyFill="1" applyAlignment="1">
      <alignment horizontal="center" vertical="center"/>
    </xf>
    <xf numFmtId="0" fontId="23" fillId="3" borderId="13" xfId="6" applyFont="1" applyFill="1" applyBorder="1" applyAlignment="1">
      <alignment horizontal="center" vertical="center"/>
    </xf>
    <xf numFmtId="0" fontId="23" fillId="3" borderId="13" xfId="6" applyFont="1" applyFill="1" applyBorder="1" applyAlignment="1">
      <alignment horizontal="center" vertical="center" wrapText="1"/>
    </xf>
    <xf numFmtId="0" fontId="23" fillId="3" borderId="0" xfId="6" applyFont="1" applyFill="1" applyAlignment="1">
      <alignment horizontal="center" vertical="center" wrapText="1"/>
    </xf>
    <xf numFmtId="0" fontId="23" fillId="3" borderId="3" xfId="6" applyFont="1" applyFill="1" applyBorder="1" applyAlignment="1">
      <alignment horizontal="center" vertical="center" wrapText="1"/>
    </xf>
    <xf numFmtId="0" fontId="23" fillId="3" borderId="3" xfId="6" applyFont="1" applyFill="1" applyBorder="1" applyAlignment="1">
      <alignment horizontal="center" vertical="center"/>
    </xf>
    <xf numFmtId="0" fontId="9" fillId="3" borderId="11" xfId="10" applyFont="1" applyFill="1" applyBorder="1" applyAlignment="1">
      <alignment horizontal="left" vertical="center"/>
    </xf>
    <xf numFmtId="0" fontId="9" fillId="3" borderId="12" xfId="10" applyFont="1" applyFill="1" applyBorder="1" applyAlignment="1">
      <alignment horizontal="left" vertical="center"/>
    </xf>
    <xf numFmtId="164" fontId="4" fillId="2" borderId="11" xfId="10" applyNumberFormat="1" applyFont="1" applyFill="1" applyBorder="1" applyAlignment="1">
      <alignment horizontal="right" vertical="center"/>
    </xf>
    <xf numFmtId="164" fontId="4" fillId="2" borderId="0" xfId="10" applyNumberFormat="1" applyFont="1" applyFill="1" applyAlignment="1">
      <alignment horizontal="right" vertical="center"/>
    </xf>
    <xf numFmtId="0" fontId="0" fillId="0" borderId="0" xfId="0" applyFill="1" applyBorder="1" applyAlignment="1"/>
    <xf numFmtId="0" fontId="0" fillId="0" borderId="14" xfId="0" applyFill="1" applyBorder="1" applyAlignment="1"/>
    <xf numFmtId="0" fontId="54" fillId="0" borderId="15" xfId="0" applyFont="1" applyFill="1" applyBorder="1" applyAlignment="1">
      <alignment horizontal="center"/>
    </xf>
    <xf numFmtId="0" fontId="54" fillId="0" borderId="15" xfId="0" applyFont="1" applyFill="1" applyBorder="1" applyAlignment="1">
      <alignment horizontal="centerContinuous"/>
    </xf>
    <xf numFmtId="0" fontId="0" fillId="7" borderId="0" xfId="0" applyFill="1" applyBorder="1" applyAlignment="1"/>
    <xf numFmtId="166" fontId="8" fillId="0" borderId="17" xfId="6" applyNumberFormat="1" applyFont="1" applyBorder="1" applyAlignment="1">
      <alignment horizontal="right" vertical="center"/>
    </xf>
    <xf numFmtId="0" fontId="65" fillId="8" borderId="18" xfId="0" applyFont="1" applyFill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66" fillId="9" borderId="0" xfId="0" applyFont="1" applyFill="1" applyAlignment="1">
      <alignment horizontal="left" vertical="center" wrapText="1"/>
    </xf>
    <xf numFmtId="0" fontId="0" fillId="0" borderId="0" xfId="0"/>
    <xf numFmtId="0" fontId="67" fillId="10" borderId="21" xfId="0" applyFont="1" applyFill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68" fillId="10" borderId="18" xfId="0" applyFont="1" applyFill="1" applyBorder="1" applyAlignment="1">
      <alignment horizontal="center" vertical="center"/>
    </xf>
    <xf numFmtId="0" fontId="69" fillId="11" borderId="24" xfId="0" applyFont="1" applyFill="1" applyBorder="1" applyAlignment="1">
      <alignment horizontal="left" vertical="center"/>
    </xf>
    <xf numFmtId="0" fontId="70" fillId="11" borderId="24" xfId="0" applyFont="1" applyFill="1" applyBorder="1" applyAlignment="1">
      <alignment horizontal="left" vertical="center"/>
    </xf>
    <xf numFmtId="0" fontId="70" fillId="11" borderId="24" xfId="0" applyFont="1" applyFill="1" applyBorder="1" applyAlignment="1">
      <alignment horizontal="center" vertical="center"/>
    </xf>
    <xf numFmtId="0" fontId="69" fillId="12" borderId="24" xfId="0" applyFont="1" applyFill="1" applyBorder="1" applyAlignment="1">
      <alignment horizontal="left" vertical="center"/>
    </xf>
    <xf numFmtId="0" fontId="70" fillId="12" borderId="24" xfId="0" applyFont="1" applyFill="1" applyBorder="1" applyAlignment="1">
      <alignment horizontal="left" vertical="center"/>
    </xf>
    <xf numFmtId="0" fontId="70" fillId="12" borderId="24" xfId="0" applyFont="1" applyFill="1" applyBorder="1" applyAlignment="1">
      <alignment horizontal="center" vertical="center"/>
    </xf>
    <xf numFmtId="0" fontId="71" fillId="12" borderId="24" xfId="0" applyFont="1" applyFill="1" applyBorder="1" applyAlignment="1">
      <alignment horizontal="center" vertical="center"/>
    </xf>
    <xf numFmtId="0" fontId="71" fillId="11" borderId="24" xfId="0" applyFont="1" applyFill="1" applyBorder="1" applyAlignment="1">
      <alignment horizontal="center" vertical="center"/>
    </xf>
    <xf numFmtId="0" fontId="69" fillId="13" borderId="24" xfId="0" applyFont="1" applyFill="1" applyBorder="1" applyAlignment="1">
      <alignment horizontal="left" vertical="center"/>
    </xf>
    <xf numFmtId="0" fontId="70" fillId="13" borderId="24" xfId="0" applyFont="1" applyFill="1" applyBorder="1" applyAlignment="1">
      <alignment horizontal="left" vertical="center"/>
    </xf>
    <xf numFmtId="0" fontId="70" fillId="13" borderId="24" xfId="0" applyFont="1" applyFill="1" applyBorder="1" applyAlignment="1">
      <alignment horizontal="center" vertical="center"/>
    </xf>
    <xf numFmtId="0" fontId="71" fillId="13" borderId="24" xfId="0" applyFont="1" applyFill="1" applyBorder="1" applyAlignment="1">
      <alignment horizontal="center" vertical="center"/>
    </xf>
    <xf numFmtId="0" fontId="69" fillId="14" borderId="24" xfId="0" applyFont="1" applyFill="1" applyBorder="1" applyAlignment="1">
      <alignment horizontal="left" vertical="center"/>
    </xf>
    <xf numFmtId="0" fontId="70" fillId="14" borderId="24" xfId="0" applyFont="1" applyFill="1" applyBorder="1" applyAlignment="1">
      <alignment horizontal="left" vertical="center"/>
    </xf>
    <xf numFmtId="0" fontId="70" fillId="14" borderId="24" xfId="0" applyFont="1" applyFill="1" applyBorder="1" applyAlignment="1">
      <alignment horizontal="center" vertical="center"/>
    </xf>
    <xf numFmtId="0" fontId="72" fillId="14" borderId="24" xfId="0" applyFont="1" applyFill="1" applyBorder="1" applyAlignment="1">
      <alignment horizontal="center" vertical="center"/>
    </xf>
    <xf numFmtId="0" fontId="68" fillId="10" borderId="24" xfId="0" applyFont="1" applyFill="1" applyBorder="1" applyAlignment="1">
      <alignment horizontal="center" vertical="center"/>
    </xf>
    <xf numFmtId="0" fontId="70" fillId="0" borderId="24" xfId="0" applyFont="1" applyBorder="1" applyAlignment="1">
      <alignment horizontal="left" vertical="center"/>
    </xf>
    <xf numFmtId="0" fontId="70" fillId="0" borderId="24" xfId="0" applyFont="1" applyBorder="1" applyAlignment="1">
      <alignment horizontal="center" vertical="center"/>
    </xf>
    <xf numFmtId="0" fontId="69" fillId="11" borderId="24" xfId="0" applyFont="1" applyFill="1" applyBorder="1" applyAlignment="1">
      <alignment horizontal="left" vertical="center" wrapText="1"/>
    </xf>
    <xf numFmtId="0" fontId="70" fillId="11" borderId="24" xfId="0" applyFont="1" applyFill="1" applyBorder="1" applyAlignment="1">
      <alignment horizontal="left" vertical="center" wrapText="1"/>
    </xf>
    <xf numFmtId="0" fontId="69" fillId="12" borderId="24" xfId="0" applyFont="1" applyFill="1" applyBorder="1" applyAlignment="1">
      <alignment horizontal="left" vertical="center" wrapText="1"/>
    </xf>
    <xf numFmtId="0" fontId="70" fillId="12" borderId="24" xfId="0" applyFont="1" applyFill="1" applyBorder="1" applyAlignment="1">
      <alignment horizontal="left" vertical="center" wrapText="1"/>
    </xf>
    <xf numFmtId="0" fontId="69" fillId="15" borderId="24" xfId="0" applyFont="1" applyFill="1" applyBorder="1" applyAlignment="1">
      <alignment horizontal="left" vertical="center" wrapText="1"/>
    </xf>
    <xf numFmtId="0" fontId="70" fillId="15" borderId="24" xfId="0" applyFont="1" applyFill="1" applyBorder="1" applyAlignment="1">
      <alignment horizontal="left" vertical="center" wrapText="1"/>
    </xf>
    <xf numFmtId="0" fontId="73" fillId="16" borderId="25" xfId="0" applyFont="1" applyFill="1" applyBorder="1" applyAlignment="1">
      <alignment horizontal="left" vertical="center"/>
    </xf>
    <xf numFmtId="0" fontId="66" fillId="17" borderId="0" xfId="0" applyFont="1" applyFill="1" applyAlignment="1">
      <alignment horizontal="left" vertical="center" wrapText="1"/>
    </xf>
    <xf numFmtId="0" fontId="67" fillId="18" borderId="26" xfId="0" applyFont="1" applyFill="1" applyBorder="1" applyAlignment="1">
      <alignment horizontal="left" vertical="center"/>
    </xf>
    <xf numFmtId="0" fontId="68" fillId="18" borderId="25" xfId="0" applyFont="1" applyFill="1" applyBorder="1" applyAlignment="1">
      <alignment horizontal="center" vertical="center"/>
    </xf>
    <xf numFmtId="0" fontId="68" fillId="18" borderId="25" xfId="0" applyFont="1" applyFill="1" applyBorder="1" applyAlignment="1">
      <alignment horizontal="left" vertical="center"/>
    </xf>
    <xf numFmtId="0" fontId="69" fillId="19" borderId="24" xfId="0" applyFont="1" applyFill="1" applyBorder="1" applyAlignment="1">
      <alignment horizontal="left" vertical="center" wrapText="1"/>
    </xf>
    <xf numFmtId="0" fontId="70" fillId="19" borderId="24" xfId="0" applyFont="1" applyFill="1" applyBorder="1" applyAlignment="1">
      <alignment horizontal="left" vertical="center" wrapText="1"/>
    </xf>
    <xf numFmtId="0" fontId="69" fillId="13" borderId="24" xfId="0" applyFont="1" applyFill="1" applyBorder="1" applyAlignment="1">
      <alignment horizontal="left" vertical="center" wrapText="1"/>
    </xf>
    <xf numFmtId="0" fontId="70" fillId="13" borderId="24" xfId="0" applyFont="1" applyFill="1" applyBorder="1" applyAlignment="1">
      <alignment horizontal="left" vertical="center" wrapText="1"/>
    </xf>
    <xf numFmtId="0" fontId="69" fillId="20" borderId="24" xfId="0" applyFont="1" applyFill="1" applyBorder="1" applyAlignment="1">
      <alignment horizontal="left" vertical="center" wrapText="1"/>
    </xf>
    <xf numFmtId="0" fontId="70" fillId="20" borderId="24" xfId="0" applyFont="1" applyFill="1" applyBorder="1" applyAlignment="1">
      <alignment horizontal="left" vertical="center" wrapText="1"/>
    </xf>
    <xf numFmtId="0" fontId="69" fillId="21" borderId="24" xfId="0" applyFont="1" applyFill="1" applyBorder="1" applyAlignment="1">
      <alignment horizontal="left" vertical="center" wrapText="1"/>
    </xf>
    <xf numFmtId="0" fontId="70" fillId="21" borderId="24" xfId="0" applyFont="1" applyFill="1" applyBorder="1" applyAlignment="1">
      <alignment horizontal="left" vertical="center" wrapText="1"/>
    </xf>
    <xf numFmtId="0" fontId="69" fillId="22" borderId="24" xfId="0" applyFont="1" applyFill="1" applyBorder="1" applyAlignment="1">
      <alignment horizontal="left" vertical="center" wrapText="1"/>
    </xf>
    <xf numFmtId="0" fontId="70" fillId="22" borderId="24" xfId="0" applyFont="1" applyFill="1" applyBorder="1" applyAlignment="1">
      <alignment horizontal="left" vertical="center" wrapText="1"/>
    </xf>
    <xf numFmtId="0" fontId="69" fillId="14" borderId="24" xfId="0" applyFont="1" applyFill="1" applyBorder="1" applyAlignment="1">
      <alignment horizontal="left" vertical="center" wrapText="1"/>
    </xf>
    <xf numFmtId="0" fontId="70" fillId="14" borderId="24" xfId="0" applyFont="1" applyFill="1" applyBorder="1" applyAlignment="1">
      <alignment horizontal="left" vertical="center" wrapText="1"/>
    </xf>
    <xf numFmtId="0" fontId="74" fillId="23" borderId="18" xfId="0" applyFont="1" applyFill="1" applyBorder="1" applyAlignment="1">
      <alignment horizontal="center" vertical="center" wrapText="1"/>
    </xf>
    <xf numFmtId="0" fontId="74" fillId="23" borderId="20" xfId="0" applyFont="1" applyFill="1" applyBorder="1" applyAlignment="1">
      <alignment horizontal="center" vertical="center" wrapText="1"/>
    </xf>
    <xf numFmtId="0" fontId="75" fillId="24" borderId="27" xfId="0" applyFont="1" applyFill="1" applyBorder="1" applyAlignment="1">
      <alignment horizontal="center" vertical="center" wrapText="1"/>
    </xf>
    <xf numFmtId="0" fontId="76" fillId="24" borderId="28" xfId="0" applyFont="1" applyFill="1" applyBorder="1" applyAlignment="1">
      <alignment horizontal="center" vertical="center" wrapText="1"/>
    </xf>
    <xf numFmtId="0" fontId="75" fillId="25" borderId="27" xfId="0" applyFont="1" applyFill="1" applyBorder="1" applyAlignment="1">
      <alignment horizontal="center" vertical="center" wrapText="1"/>
    </xf>
    <xf numFmtId="0" fontId="76" fillId="25" borderId="28" xfId="0" applyFont="1" applyFill="1" applyBorder="1" applyAlignment="1">
      <alignment horizontal="center" vertical="center" wrapText="1"/>
    </xf>
    <xf numFmtId="10" fontId="76" fillId="25" borderId="28" xfId="0" applyNumberFormat="1" applyFont="1" applyFill="1" applyBorder="1" applyAlignment="1">
      <alignment horizontal="center" vertical="center" wrapText="1"/>
    </xf>
    <xf numFmtId="0" fontId="69" fillId="9" borderId="24" xfId="0" applyFont="1" applyFill="1" applyBorder="1" applyAlignment="1">
      <alignment horizontal="left" vertical="center"/>
    </xf>
    <xf numFmtId="0" fontId="70" fillId="9" borderId="24" xfId="0" applyFont="1" applyFill="1" applyBorder="1" applyAlignment="1">
      <alignment horizontal="left" vertical="center"/>
    </xf>
    <xf numFmtId="0" fontId="70" fillId="9" borderId="24" xfId="0" applyFont="1" applyFill="1" applyBorder="1" applyAlignment="1">
      <alignment horizontal="center" vertical="center"/>
    </xf>
    <xf numFmtId="0" fontId="71" fillId="9" borderId="24" xfId="0" applyFont="1" applyFill="1" applyBorder="1" applyAlignment="1">
      <alignment horizontal="center" vertical="center"/>
    </xf>
    <xf numFmtId="0" fontId="75" fillId="24" borderId="28" xfId="0" applyFont="1" applyFill="1" applyBorder="1" applyAlignment="1">
      <alignment horizontal="center" vertical="center" wrapText="1"/>
    </xf>
    <xf numFmtId="10" fontId="76" fillId="24" borderId="28" xfId="0" applyNumberFormat="1" applyFont="1" applyFill="1" applyBorder="1" applyAlignment="1">
      <alignment horizontal="center" vertical="center" wrapText="1"/>
    </xf>
    <xf numFmtId="0" fontId="75" fillId="25" borderId="28" xfId="0" applyFont="1" applyFill="1" applyBorder="1" applyAlignment="1">
      <alignment horizontal="center" vertical="center" wrapText="1"/>
    </xf>
    <xf numFmtId="10" fontId="77" fillId="25" borderId="28" xfId="0" applyNumberFormat="1" applyFont="1" applyFill="1" applyBorder="1" applyAlignment="1">
      <alignment horizontal="center" vertical="center" wrapText="1"/>
    </xf>
    <xf numFmtId="9" fontId="76" fillId="25" borderId="28" xfId="0" applyNumberFormat="1" applyFont="1" applyFill="1" applyBorder="1" applyAlignment="1">
      <alignment horizontal="center" vertical="center" wrapText="1"/>
    </xf>
    <xf numFmtId="10" fontId="78" fillId="24" borderId="28" xfId="0" applyNumberFormat="1" applyFont="1" applyFill="1" applyBorder="1" applyAlignment="1">
      <alignment horizontal="center" vertical="center" wrapText="1"/>
    </xf>
    <xf numFmtId="0" fontId="78" fillId="24" borderId="28" xfId="0" applyFont="1" applyFill="1" applyBorder="1" applyAlignment="1">
      <alignment horizontal="center" vertical="center" wrapText="1"/>
    </xf>
    <xf numFmtId="0" fontId="75" fillId="26" borderId="27" xfId="0" applyFont="1" applyFill="1" applyBorder="1" applyAlignment="1">
      <alignment horizontal="center" vertical="center" wrapText="1"/>
    </xf>
    <xf numFmtId="0" fontId="76" fillId="26" borderId="28" xfId="0" applyFont="1" applyFill="1" applyBorder="1" applyAlignment="1">
      <alignment horizontal="center" vertical="center" wrapText="1"/>
    </xf>
    <xf numFmtId="10" fontId="76" fillId="26" borderId="28" xfId="0" applyNumberFormat="1" applyFont="1" applyFill="1" applyBorder="1" applyAlignment="1">
      <alignment horizontal="center" vertical="center" wrapText="1"/>
    </xf>
    <xf numFmtId="10" fontId="79" fillId="26" borderId="28" xfId="0" applyNumberFormat="1" applyFont="1" applyFill="1" applyBorder="1" applyAlignment="1">
      <alignment horizontal="center" vertical="center" wrapText="1"/>
    </xf>
    <xf numFmtId="0" fontId="79" fillId="26" borderId="28" xfId="0" applyFont="1" applyFill="1" applyBorder="1" applyAlignment="1">
      <alignment horizontal="center" vertical="center" wrapText="1"/>
    </xf>
    <xf numFmtId="0" fontId="68" fillId="10" borderId="29" xfId="0" applyFont="1" applyFill="1" applyBorder="1" applyAlignment="1">
      <alignment horizontal="center" vertical="center"/>
    </xf>
    <xf numFmtId="0" fontId="68" fillId="10" borderId="0" xfId="0" applyFont="1" applyFill="1" applyBorder="1" applyAlignment="1">
      <alignment horizontal="center" vertical="center"/>
    </xf>
    <xf numFmtId="0" fontId="70" fillId="11" borderId="30" xfId="0" applyFont="1" applyFill="1" applyBorder="1" applyAlignment="1">
      <alignment horizontal="center" vertical="center" wrapText="1"/>
    </xf>
    <xf numFmtId="0" fontId="70" fillId="11" borderId="0" xfId="0" applyFont="1" applyFill="1" applyBorder="1" applyAlignment="1">
      <alignment horizontal="center" vertical="center" wrapText="1"/>
    </xf>
    <xf numFmtId="0" fontId="70" fillId="12" borderId="30" xfId="0" applyFont="1" applyFill="1" applyBorder="1" applyAlignment="1">
      <alignment horizontal="center" vertical="center" wrapText="1"/>
    </xf>
    <xf numFmtId="0" fontId="70" fillId="12" borderId="0" xfId="0" applyFont="1" applyFill="1" applyBorder="1" applyAlignment="1">
      <alignment horizontal="center" vertical="center" wrapText="1"/>
    </xf>
    <xf numFmtId="0" fontId="67" fillId="10" borderId="31" xfId="0" applyFont="1" applyFill="1" applyBorder="1" applyAlignment="1">
      <alignment horizontal="center" vertical="center"/>
    </xf>
    <xf numFmtId="0" fontId="67" fillId="10" borderId="0" xfId="0" applyFont="1" applyFill="1" applyBorder="1" applyAlignment="1">
      <alignment horizontal="center" vertical="center"/>
    </xf>
  </cellXfs>
  <cellStyles count="15">
    <cellStyle name="Comma 2" xfId="3" xr:uid="{CA4B55AE-85A8-9445-99F2-5509E4D36443}"/>
    <cellStyle name="Comma 2 2" xfId="9" xr:uid="{AEC27C95-8E87-2141-82EE-2182DC75BDEE}"/>
    <cellStyle name="Comma 2 3" xfId="11" xr:uid="{E38E7190-657B-6545-92F1-E773E59E4B26}"/>
    <cellStyle name="Comma 3" xfId="13" xr:uid="{738BA2FD-2E8B-7947-A190-1EEC010BE323}"/>
    <cellStyle name="Normal" xfId="0" builtinId="0"/>
    <cellStyle name="Normal 2" xfId="5" xr:uid="{B7F830F6-D879-744C-BE9C-129021E61313}"/>
    <cellStyle name="Normal 2 2" xfId="4" xr:uid="{3DDB658F-2A25-EC49-AABD-01454B1BB7D1}"/>
    <cellStyle name="Normal 2 3" xfId="10" xr:uid="{057A12BF-F8E0-324C-948A-CE1343C618F4}"/>
    <cellStyle name="Normal 3 2" xfId="2" xr:uid="{C1EC3574-1656-DF4A-A48B-E8FDEBE7DC0F}"/>
    <cellStyle name="Normal 3 3" xfId="6" xr:uid="{F74E6FDA-0421-5B4F-AA62-D437B51944A1}"/>
    <cellStyle name="Percent" xfId="1" builtinId="5"/>
    <cellStyle name="Percent 2" xfId="7" xr:uid="{695A5F60-1151-BB44-83A2-F0F8AE50C120}"/>
    <cellStyle name="Percent 2 2" xfId="8" xr:uid="{0D68C26E-58D2-5B41-9FC5-F66BB2AC9080}"/>
    <cellStyle name="Percent 2 3" xfId="12" xr:uid="{6D24EDF7-DC67-8845-8D04-46A5F330A669}"/>
    <cellStyle name="Percent 3" xfId="14" xr:uid="{C4CD1E1D-FEAC-EB47-9B52-1FE3F13EC5E6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Capital</a:t>
            </a:r>
            <a:r>
              <a:rPr lang="en-US" baseline="0"/>
              <a:t> Allocation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21832505267506E-2"/>
          <c:y val="0.17881106001120942"/>
          <c:w val="0.59577788070608817"/>
          <c:h val="0.7736324786324786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9038-7A44-AC25-67BE3C6708C1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252-C94F-83C3-2BB98C98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'Capital Allocation'!$B$11:$B$12</c:f>
              <c:strCache>
                <c:ptCount val="2"/>
                <c:pt idx="0">
                  <c:v>y: weight of risky pf</c:v>
                </c:pt>
                <c:pt idx="1">
                  <c:v>1-y: weight of risk free asset</c:v>
                </c:pt>
              </c:strCache>
            </c:strRef>
          </c:cat>
          <c:val>
            <c:numRef>
              <c:f>'Capital Allocation'!$D$11:$D$12</c:f>
              <c:numCache>
                <c:formatCode>0.00%</c:formatCode>
                <c:ptCount val="2"/>
                <c:pt idx="0">
                  <c:v>0.55691001140326313</c:v>
                </c:pt>
                <c:pt idx="1">
                  <c:v>0.44308998859673687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2-C94F-83C3-2BB98C98963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03949343276042"/>
          <c:y val="0.25939739987006105"/>
          <c:w val="0.24073656928824783"/>
          <c:h val="0.5630550514409979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Max.</a:t>
            </a:r>
            <a:r>
              <a:rPr lang="en-US" baseline="0"/>
              <a:t> </a:t>
            </a:r>
            <a:r>
              <a:rPr lang="en-US"/>
              <a:t>Utiliity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'Capital Allocation'!$E$22</c:f>
              <c:strCache>
                <c:ptCount val="1"/>
                <c:pt idx="0">
                  <c:v>Utiliity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xVal>
            <c:numRef>
              <c:f>'Capital Allocation'!$B$24:$B$33</c:f>
              <c:numCache>
                <c:formatCode>General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 formatCode="0.0">
                  <c:v>1</c:v>
                </c:pt>
              </c:numCache>
            </c:numRef>
          </c:xVal>
          <c:yVal>
            <c:numRef>
              <c:f>'Capital Allocation'!$E$24:$E$33</c:f>
              <c:numCache>
                <c:formatCode>0.00%</c:formatCode>
                <c:ptCount val="10"/>
                <c:pt idx="0">
                  <c:v>7.1823610912284785E-2</c:v>
                </c:pt>
                <c:pt idx="1">
                  <c:v>8.974336109779342E-2</c:v>
                </c:pt>
                <c:pt idx="2">
                  <c:v>0.10325925055652591</c:v>
                </c:pt>
                <c:pt idx="3">
                  <c:v>0.11237127928848226</c:v>
                </c:pt>
                <c:pt idx="4">
                  <c:v>0.11707944729366244</c:v>
                </c:pt>
                <c:pt idx="5">
                  <c:v>0.11738375457206653</c:v>
                </c:pt>
                <c:pt idx="6">
                  <c:v>0.11328420112369439</c:v>
                </c:pt>
                <c:pt idx="7">
                  <c:v>0.1047807869485462</c:v>
                </c:pt>
                <c:pt idx="8">
                  <c:v>9.1873512046621808E-2</c:v>
                </c:pt>
                <c:pt idx="9">
                  <c:v>7.4562376417921294E-2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13-F942-AAFA-DC10E22F1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4634319"/>
        <c:axId val="1404941903"/>
      </c:scatterChart>
      <c:valAx>
        <c:axId val="14046343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941903"/>
        <c:crosses val="autoZero"/>
        <c:crossBetween val="midCat"/>
      </c:valAx>
      <c:valAx>
        <c:axId val="1404941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6343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Your Indiff meets Your CAL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'Capital Allocation'!$F$22</c:f>
              <c:strCache>
                <c:ptCount val="1"/>
                <c:pt idx="0">
                  <c:v>E(rc) on Indiff.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Allocation'!$D$24:$D$33</c:f>
              <c:numCache>
                <c:formatCode>0.00%</c:formatCode>
                <c:ptCount val="10"/>
                <c:pt idx="0">
                  <c:v>2.2120530249763064E-2</c:v>
                </c:pt>
                <c:pt idx="1">
                  <c:v>4.4241060499526128E-2</c:v>
                </c:pt>
                <c:pt idx="2">
                  <c:v>6.6361590749289184E-2</c:v>
                </c:pt>
                <c:pt idx="3">
                  <c:v>8.8482120999052255E-2</c:v>
                </c:pt>
                <c:pt idx="4">
                  <c:v>0.11060265124881531</c:v>
                </c:pt>
                <c:pt idx="5">
                  <c:v>0.13272318149857837</c:v>
                </c:pt>
                <c:pt idx="6">
                  <c:v>0.15484371174834144</c:v>
                </c:pt>
                <c:pt idx="7">
                  <c:v>0.17696424199810451</c:v>
                </c:pt>
                <c:pt idx="8">
                  <c:v>0.19908477224786755</c:v>
                </c:pt>
                <c:pt idx="9">
                  <c:v>0.22120530249763062</c:v>
                </c:pt>
              </c:numCache>
            </c:numRef>
          </c:cat>
          <c:val>
            <c:numRef>
              <c:f>'Capital Allocation'!$F$24:$F$33</c:f>
              <c:numCache>
                <c:formatCode>0.00%</c:formatCode>
                <c:ptCount val="10"/>
                <c:pt idx="0">
                  <c:v>9.9485757872862832E-2</c:v>
                </c:pt>
                <c:pt idx="1">
                  <c:v>0.10609154896302704</c:v>
                </c:pt>
                <c:pt idx="2">
                  <c:v>0.1171012007799674</c:v>
                </c:pt>
                <c:pt idx="3">
                  <c:v>0.13251471332368392</c:v>
                </c:pt>
                <c:pt idx="4">
                  <c:v>0.15233208659417657</c:v>
                </c:pt>
                <c:pt idx="5">
                  <c:v>0.17655332059144535</c:v>
                </c:pt>
                <c:pt idx="6">
                  <c:v>0.2051784153154903</c:v>
                </c:pt>
                <c:pt idx="7">
                  <c:v>0.23820737076631138</c:v>
                </c:pt>
                <c:pt idx="8">
                  <c:v>0.27564018694390857</c:v>
                </c:pt>
                <c:pt idx="9">
                  <c:v>0.317476863848282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D8A-D949-BC77-83495A19F7CF}"/>
            </c:ext>
          </c:extLst>
        </c:ser>
        <c:ser>
          <c:idx val="1"/>
          <c:order val="1"/>
          <c:tx>
            <c:strRef>
              <c:f>'Capital Allocation'!$D$22</c:f>
              <c:strCache>
                <c:ptCount val="1"/>
                <c:pt idx="0">
                  <c:v>𝜎 c</c:v>
                </c:pt>
              </c:strCache>
            </c:strRef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Allocation'!$D$24:$D$33</c:f>
              <c:numCache>
                <c:formatCode>0.00%</c:formatCode>
                <c:ptCount val="10"/>
                <c:pt idx="0">
                  <c:v>2.2120530249763064E-2</c:v>
                </c:pt>
                <c:pt idx="1">
                  <c:v>4.4241060499526128E-2</c:v>
                </c:pt>
                <c:pt idx="2">
                  <c:v>6.6361590749289184E-2</c:v>
                </c:pt>
                <c:pt idx="3">
                  <c:v>8.8482120999052255E-2</c:v>
                </c:pt>
                <c:pt idx="4">
                  <c:v>0.11060265124881531</c:v>
                </c:pt>
                <c:pt idx="5">
                  <c:v>0.13272318149857837</c:v>
                </c:pt>
                <c:pt idx="6">
                  <c:v>0.15484371174834144</c:v>
                </c:pt>
                <c:pt idx="7">
                  <c:v>0.17696424199810451</c:v>
                </c:pt>
                <c:pt idx="8">
                  <c:v>0.19908477224786755</c:v>
                </c:pt>
                <c:pt idx="9">
                  <c:v>0.22120530249763062</c:v>
                </c:pt>
              </c:numCache>
            </c:numRef>
          </c:cat>
          <c:val>
            <c:numRef>
              <c:f>'Capital Allocation'!$C$24:$C$33</c:f>
              <c:numCache>
                <c:formatCode>0.00%</c:formatCode>
                <c:ptCount val="10"/>
                <c:pt idx="0">
                  <c:v>7.402554127567286E-2</c:v>
                </c:pt>
                <c:pt idx="1">
                  <c:v>9.8551082551345703E-2</c:v>
                </c:pt>
                <c:pt idx="2">
                  <c:v>0.12307662382701855</c:v>
                </c:pt>
                <c:pt idx="3">
                  <c:v>0.14760216510269142</c:v>
                </c:pt>
                <c:pt idx="4">
                  <c:v>0.17212770637836425</c:v>
                </c:pt>
                <c:pt idx="5">
                  <c:v>0.19665324765403711</c:v>
                </c:pt>
                <c:pt idx="6">
                  <c:v>0.22117878892970994</c:v>
                </c:pt>
                <c:pt idx="7">
                  <c:v>0.24570433020538282</c:v>
                </c:pt>
                <c:pt idx="8">
                  <c:v>0.27022987148105565</c:v>
                </c:pt>
                <c:pt idx="9">
                  <c:v>0.29475541275672851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A-D949-BC77-83495A19F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274014719"/>
        <c:axId val="1348506064"/>
      </c:lineChart>
      <c:catAx>
        <c:axId val="274014719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06064"/>
        <c:crosses val="autoZero"/>
        <c:auto val="1"/>
        <c:lblAlgn val="ctr"/>
        <c:lblOffset val="100"/>
        <c:noMultiLvlLbl val="0"/>
      </c:catAx>
      <c:valAx>
        <c:axId val="134850606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014719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Optimal</a:t>
            </a:r>
            <a:r>
              <a:rPr lang="en-US" sz="1200" baseline="0"/>
              <a:t> Complete Portfolio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0796420895243435E-2"/>
          <c:y val="0.16398924942056645"/>
          <c:w val="0.58841200588730025"/>
          <c:h val="0.776061207753703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5AC6-334D-86E9-273A97DE93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DEDB-7B41-B7CE-B8186F5C0C98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5AC6-334D-86E9-273A97DE932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'Asset Classes Allocation'!$B$30:$B$32</c:f>
              <c:strCache>
                <c:ptCount val="3"/>
                <c:pt idx="0">
                  <c:v>Weight (1-y): Risk-Free Asset</c:v>
                </c:pt>
                <c:pt idx="1">
                  <c:v>Bond weight in the Optimal Complete Pf</c:v>
                </c:pt>
                <c:pt idx="2">
                  <c:v>Equity weight in the Optimal Complete Pf</c:v>
                </c:pt>
              </c:strCache>
            </c:strRef>
          </c:cat>
          <c:val>
            <c:numRef>
              <c:f>'Asset Classes Allocation'!$D$30:$D$32</c:f>
              <c:numCache>
                <c:formatCode>0.00%</c:formatCode>
                <c:ptCount val="3"/>
                <c:pt idx="0">
                  <c:v>0.44308998859673687</c:v>
                </c:pt>
                <c:pt idx="1">
                  <c:v>0</c:v>
                </c:pt>
                <c:pt idx="2">
                  <c:v>0.55691001140326313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6-334D-86E9-273A97DE932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Optimal Risky Portfolio</c:v>
          </c:tx>
          <c:spPr>
            <a:ln w="9525" cap="flat" cmpd="sng" algn="ctr">
              <a:solidFill>
                <a:schemeClr val="accent1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'Asset Classes Allocation'!$E$12:$E$22</c:f>
              <c:numCache>
                <c:formatCode>0.0000</c:formatCode>
                <c:ptCount val="11"/>
                <c:pt idx="0">
                  <c:v>0.14724104274769068</c:v>
                </c:pt>
                <c:pt idx="1">
                  <c:v>0.14356063512902661</c:v>
                </c:pt>
                <c:pt idx="2">
                  <c:v>0.14276841966747306</c:v>
                </c:pt>
                <c:pt idx="3">
                  <c:v>0.14491177231861418</c:v>
                </c:pt>
                <c:pt idx="4">
                  <c:v>0.14986479328105057</c:v>
                </c:pt>
                <c:pt idx="5">
                  <c:v>0.1573624007833451</c:v>
                </c:pt>
                <c:pt idx="6">
                  <c:v>0.16706234914516263</c:v>
                </c:pt>
                <c:pt idx="7">
                  <c:v>0.17860617634891091</c:v>
                </c:pt>
                <c:pt idx="8">
                  <c:v>0.19166099854830224</c:v>
                </c:pt>
                <c:pt idx="9">
                  <c:v>0.20593966326466182</c:v>
                </c:pt>
                <c:pt idx="10">
                  <c:v>0.22120530249763062</c:v>
                </c:pt>
              </c:numCache>
            </c:numRef>
          </c:xVal>
          <c:yVal>
            <c:numRef>
              <c:f>'Asset Classes Allocation'!$D$12:$D$22</c:f>
              <c:numCache>
                <c:formatCode>0.0000</c:formatCode>
                <c:ptCount val="11"/>
                <c:pt idx="0">
                  <c:v>0.15449548437414534</c:v>
                </c:pt>
                <c:pt idx="1">
                  <c:v>0.16852147721240368</c:v>
                </c:pt>
                <c:pt idx="2">
                  <c:v>0.18254747005066199</c:v>
                </c:pt>
                <c:pt idx="3">
                  <c:v>0.19657346288892028</c:v>
                </c:pt>
                <c:pt idx="4">
                  <c:v>0.21059945572717861</c:v>
                </c:pt>
                <c:pt idx="5">
                  <c:v>0.22462544856543692</c:v>
                </c:pt>
                <c:pt idx="6">
                  <c:v>0.23865144140369524</c:v>
                </c:pt>
                <c:pt idx="7">
                  <c:v>0.25267743424195355</c:v>
                </c:pt>
                <c:pt idx="8">
                  <c:v>0.26670342708021189</c:v>
                </c:pt>
                <c:pt idx="9">
                  <c:v>0.28072941991847017</c:v>
                </c:pt>
                <c:pt idx="10">
                  <c:v>0.29475541275672851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AB-D94D-9D61-E2B322686B04}"/>
            </c:ext>
          </c:extLst>
        </c:ser>
        <c:ser>
          <c:idx val="1"/>
          <c:order val="1"/>
          <c:tx>
            <c:v>Minimum Variance Pf</c:v>
          </c:tx>
          <c:spPr>
            <a:ln w="9525" cap="flat" cmpd="sng" algn="ctr">
              <a:solidFill>
                <a:schemeClr val="accent2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2"/>
                </a:solidFill>
              </a:ln>
              <a:effectLst/>
            </c:spPr>
            <c:trendlineType val="linear"/>
            <c:forward val="0.1"/>
            <c:dispRSqr val="0"/>
            <c:dispEq val="0"/>
          </c:trendline>
          <c:xVal>
            <c:numRef>
              <c:f>('Asset Classes Allocation'!$D$8,'Asset Classes Allocation'!$E$24)</c:f>
              <c:numCache>
                <c:formatCode>0.0000</c:formatCode>
                <c:ptCount val="2"/>
                <c:pt idx="0" formatCode="0.00%">
                  <c:v>0</c:v>
                </c:pt>
                <c:pt idx="1">
                  <c:v>0.14724104274769068</c:v>
                </c:pt>
              </c:numCache>
            </c:numRef>
          </c:xVal>
          <c:yVal>
            <c:numRef>
              <c:f>('Asset Classes Allocation'!$C$8,'Asset Classes Allocation'!$D$24)</c:f>
              <c:numCache>
                <c:formatCode>0.0000</c:formatCode>
                <c:ptCount val="2"/>
                <c:pt idx="0" formatCode="0.00%">
                  <c:v>4.9500000000000002E-2</c:v>
                </c:pt>
                <c:pt idx="1">
                  <c:v>0.15449548437414534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AB-D94D-9D61-E2B322686B04}"/>
            </c:ext>
          </c:extLst>
        </c:ser>
        <c:ser>
          <c:idx val="2"/>
          <c:order val="2"/>
          <c:tx>
            <c:v>Optimal Risky Pf</c:v>
          </c:tx>
          <c:spPr>
            <a:ln w="9525" cap="flat" cmpd="sng" algn="ctr">
              <a:solidFill>
                <a:schemeClr val="accent3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3"/>
                </a:solidFill>
              </a:ln>
              <a:effectLst/>
            </c:spPr>
            <c:trendlineType val="linear"/>
            <c:forward val="0.1"/>
            <c:dispRSqr val="0"/>
            <c:dispEq val="0"/>
          </c:trendline>
          <c:xVal>
            <c:numRef>
              <c:f>('Asset Classes Allocation'!$D$8,'Asset Classes Allocation'!$E$26)</c:f>
              <c:numCache>
                <c:formatCode>0.0000</c:formatCode>
                <c:ptCount val="2"/>
                <c:pt idx="0" formatCode="0.00%">
                  <c:v>0</c:v>
                </c:pt>
                <c:pt idx="1">
                  <c:v>0.22120530249763062</c:v>
                </c:pt>
              </c:numCache>
            </c:numRef>
          </c:xVal>
          <c:yVal>
            <c:numRef>
              <c:f>('Asset Classes Allocation'!$C$8,'Asset Classes Allocation'!$D$26)</c:f>
              <c:numCache>
                <c:formatCode>0.0000</c:formatCode>
                <c:ptCount val="2"/>
                <c:pt idx="0" formatCode="0.00%">
                  <c:v>4.9500000000000002E-2</c:v>
                </c:pt>
                <c:pt idx="1">
                  <c:v>0.29475541275672851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6AB-D94D-9D61-E2B322686B04}"/>
            </c:ext>
          </c:extLst>
        </c:ser>
        <c:ser>
          <c:idx val="3"/>
          <c:order val="3"/>
          <c:tx>
            <c:v>Indifference Curve</c:v>
          </c:tx>
          <c:spPr>
            <a:ln w="9525" cap="flat" cmpd="sng" algn="ctr">
              <a:solidFill>
                <a:schemeClr val="accent4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'Capital Allocation'!$D$24:$D$33</c:f>
              <c:numCache>
                <c:formatCode>0.00%</c:formatCode>
                <c:ptCount val="10"/>
                <c:pt idx="0">
                  <c:v>2.2120530249763064E-2</c:v>
                </c:pt>
                <c:pt idx="1">
                  <c:v>4.4241060499526128E-2</c:v>
                </c:pt>
                <c:pt idx="2">
                  <c:v>6.6361590749289184E-2</c:v>
                </c:pt>
                <c:pt idx="3">
                  <c:v>8.8482120999052255E-2</c:v>
                </c:pt>
                <c:pt idx="4">
                  <c:v>0.11060265124881531</c:v>
                </c:pt>
                <c:pt idx="5">
                  <c:v>0.13272318149857837</c:v>
                </c:pt>
                <c:pt idx="6">
                  <c:v>0.15484371174834144</c:v>
                </c:pt>
                <c:pt idx="7">
                  <c:v>0.17696424199810451</c:v>
                </c:pt>
                <c:pt idx="8">
                  <c:v>0.19908477224786755</c:v>
                </c:pt>
                <c:pt idx="9">
                  <c:v>0.22120530249763062</c:v>
                </c:pt>
              </c:numCache>
            </c:numRef>
          </c:xVal>
          <c:yVal>
            <c:numRef>
              <c:f>'Capital Allocation'!$F$24:$F$33</c:f>
              <c:numCache>
                <c:formatCode>0.00%</c:formatCode>
                <c:ptCount val="10"/>
                <c:pt idx="0">
                  <c:v>9.9485757872862832E-2</c:v>
                </c:pt>
                <c:pt idx="1">
                  <c:v>0.10609154896302704</c:v>
                </c:pt>
                <c:pt idx="2">
                  <c:v>0.1171012007799674</c:v>
                </c:pt>
                <c:pt idx="3">
                  <c:v>0.13251471332368392</c:v>
                </c:pt>
                <c:pt idx="4">
                  <c:v>0.15233208659417657</c:v>
                </c:pt>
                <c:pt idx="5">
                  <c:v>0.17655332059144535</c:v>
                </c:pt>
                <c:pt idx="6">
                  <c:v>0.2051784153154903</c:v>
                </c:pt>
                <c:pt idx="7">
                  <c:v>0.23820737076631138</c:v>
                </c:pt>
                <c:pt idx="8">
                  <c:v>0.27564018694390857</c:v>
                </c:pt>
                <c:pt idx="9">
                  <c:v>0.317476863848282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EB-3D4A-8E68-7C5BB44CB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413072"/>
        <c:axId val="457112208"/>
      </c:scatterChart>
      <c:valAx>
        <c:axId val="32441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112208"/>
        <c:crosses val="autoZero"/>
        <c:crossBetween val="midCat"/>
      </c:valAx>
      <c:valAx>
        <c:axId val="45711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413072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Active Portfolio: Large</a:t>
            </a:r>
            <a:r>
              <a:rPr lang="en-US" baseline="0"/>
              <a:t> Growth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EB0-5C4E-BD2E-C016549E7C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EB0-5C4E-BD2E-C016549E7C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EEB0-5C4E-BD2E-C016549E7C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EEB0-5C4E-BD2E-C016549E7C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EEB0-5C4E-BD2E-C016549E7C97}"/>
              </c:ext>
            </c:extLst>
          </c:dPt>
          <c:dLbls>
            <c:dLbl>
              <c:idx val="1"/>
              <c:layout>
                <c:manualLayout>
                  <c:x val="-9.0588482139214457E-2"/>
                  <c:y val="-0.2454160598992228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B0-5C4E-BD2E-C016549E7C97}"/>
                </c:ext>
              </c:extLst>
            </c:dLbl>
            <c:dLbl>
              <c:idx val="2"/>
              <c:layout>
                <c:manualLayout>
                  <c:x val="-1.5307412998245685E-2"/>
                  <c:y val="-0.1655125198139103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B0-5C4E-BD2E-C016549E7C97}"/>
                </c:ext>
              </c:extLst>
            </c:dLbl>
            <c:dLbl>
              <c:idx val="4"/>
              <c:layout>
                <c:manualLayout>
                  <c:x val="6.5856923324998887E-2"/>
                  <c:y val="0.112942188486668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B0-5C4E-BD2E-C016549E7C97}"/>
                </c:ext>
              </c:extLst>
            </c:dLbl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eparator>, 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'Security Allocation'!$F$61:$J$61</c:f>
              <c:strCache>
                <c:ptCount val="5"/>
                <c:pt idx="0">
                  <c:v>PWR</c:v>
                </c:pt>
                <c:pt idx="1">
                  <c:v>ETN</c:v>
                </c:pt>
                <c:pt idx="2">
                  <c:v>AEP</c:v>
                </c:pt>
                <c:pt idx="3">
                  <c:v>SBGSY</c:v>
                </c:pt>
                <c:pt idx="4">
                  <c:v>NVT</c:v>
                </c:pt>
              </c:strCache>
            </c:strRef>
          </c:cat>
          <c:val>
            <c:numRef>
              <c:f>'Security Allocation'!$F$62:$J$62</c:f>
              <c:numCache>
                <c:formatCode>0.0000</c:formatCode>
                <c:ptCount val="5"/>
                <c:pt idx="0">
                  <c:v>0.13992865036955976</c:v>
                </c:pt>
                <c:pt idx="1">
                  <c:v>0.14573510946543553</c:v>
                </c:pt>
                <c:pt idx="2">
                  <c:v>1.8882010575284075E-2</c:v>
                </c:pt>
                <c:pt idx="3">
                  <c:v>0.23390145481079219</c:v>
                </c:pt>
                <c:pt idx="4">
                  <c:v>0.17748442710411236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B-314F-AB19-E3D4CA4BF77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705430053628954"/>
          <c:y val="0.27611335745194016"/>
          <c:w val="0.14874414801981645"/>
          <c:h val="0.4617879690714336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Excess Return of the</a:t>
            </a: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 Benchmark Index </a:t>
            </a:r>
            <a:r>
              <a:rPr lang="en-US" sz="1600" b="1"/>
              <a:t> vs. the Securities in the</a:t>
            </a:r>
            <a:r>
              <a:rPr lang="en-US" sz="1600" b="1" baseline="0"/>
              <a:t> </a:t>
            </a:r>
            <a:r>
              <a:rPr lang="en-US" sz="1600" b="1"/>
              <a:t>Active Pf </a:t>
            </a:r>
            <a:r>
              <a:rPr lang="en-US" sz="1600" b="1" baseline="0"/>
              <a:t>(</a:t>
            </a:r>
            <a:r>
              <a:rPr lang="en-US" sz="1600" b="1"/>
              <a:t>59 months, 2021</a:t>
            </a:r>
            <a:r>
              <a:rPr lang="en-US" sz="1600" b="1" baseline="0"/>
              <a:t> - 2026)</a:t>
            </a:r>
            <a:endParaRPr lang="en-US" sz="16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ACWI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Securities'!$E$42:$E$100</c:f>
              <c:numCache>
                <c:formatCode>0.00%</c:formatCode>
                <c:ptCount val="59"/>
                <c:pt idx="0">
                  <c:v>1.2401266766019388E-3</c:v>
                </c:pt>
                <c:pt idx="1">
                  <c:v>4.9668074908588052E-3</c:v>
                </c:pt>
                <c:pt idx="2">
                  <c:v>1.761625942610905E-2</c:v>
                </c:pt>
                <c:pt idx="3">
                  <c:v>-4.6394721077350723E-2</c:v>
                </c:pt>
                <c:pt idx="4">
                  <c:v>4.981815452361886E-2</c:v>
                </c:pt>
                <c:pt idx="5">
                  <c:v>-2.71997317443738E-2</c:v>
                </c:pt>
                <c:pt idx="6">
                  <c:v>2.4063180404354668E-2</c:v>
                </c:pt>
                <c:pt idx="7">
                  <c:v>-4.9596733787105343E-2</c:v>
                </c:pt>
                <c:pt idx="8">
                  <c:v>-3.4728149450331827E-2</c:v>
                </c:pt>
                <c:pt idx="9">
                  <c:v>1.5286524315488426E-2</c:v>
                </c:pt>
                <c:pt idx="10">
                  <c:v>-8.480249047905393E-2</c:v>
                </c:pt>
                <c:pt idx="11">
                  <c:v>3.4463915839959627E-4</c:v>
                </c:pt>
                <c:pt idx="12">
                  <c:v>-9.366266008248321E-2</c:v>
                </c:pt>
                <c:pt idx="13">
                  <c:v>6.6562805459530347E-2</c:v>
                </c:pt>
                <c:pt idx="14">
                  <c:v>-4.776784123803153E-2</c:v>
                </c:pt>
                <c:pt idx="15">
                  <c:v>-9.8071449359720744E-2</c:v>
                </c:pt>
                <c:pt idx="16">
                  <c:v>5.9346669022227891E-2</c:v>
                </c:pt>
                <c:pt idx="17">
                  <c:v>7.9238537513591931E-2</c:v>
                </c:pt>
                <c:pt idx="18">
                  <c:v>-5.754308854689423E-2</c:v>
                </c:pt>
                <c:pt idx="19">
                  <c:v>7.0922125353440155E-2</c:v>
                </c:pt>
                <c:pt idx="20">
                  <c:v>-3.7330479452054768E-2</c:v>
                </c:pt>
                <c:pt idx="21">
                  <c:v>2.920077646792112E-2</c:v>
                </c:pt>
                <c:pt idx="22">
                  <c:v>1.1561704695041742E-2</c:v>
                </c:pt>
                <c:pt idx="23">
                  <c:v>-1.4601293336213361E-2</c:v>
                </c:pt>
                <c:pt idx="24">
                  <c:v>4.302627701375232E-2</c:v>
                </c:pt>
                <c:pt idx="25">
                  <c:v>3.1834974984365313E-2</c:v>
                </c:pt>
                <c:pt idx="26">
                  <c:v>-3.3202371969010949E-2</c:v>
                </c:pt>
                <c:pt idx="27">
                  <c:v>-4.6922927461139866E-2</c:v>
                </c:pt>
                <c:pt idx="28">
                  <c:v>-2.956616054996215E-2</c:v>
                </c:pt>
                <c:pt idx="29">
                  <c:v>8.4744140191068615E-2</c:v>
                </c:pt>
                <c:pt idx="30">
                  <c:v>3.4132498469700165E-2</c:v>
                </c:pt>
                <c:pt idx="31">
                  <c:v>-1.3736980446104712E-3</c:v>
                </c:pt>
                <c:pt idx="32">
                  <c:v>4.0950943165115314E-2</c:v>
                </c:pt>
                <c:pt idx="33">
                  <c:v>2.8505098452883116E-2</c:v>
                </c:pt>
                <c:pt idx="34">
                  <c:v>-3.9628495868518979E-2</c:v>
                </c:pt>
                <c:pt idx="35">
                  <c:v>4.1629095273959679E-2</c:v>
                </c:pt>
                <c:pt idx="36">
                  <c:v>7.7583273316529817E-3</c:v>
                </c:pt>
                <c:pt idx="37">
                  <c:v>1.1266459074733049E-2</c:v>
                </c:pt>
                <c:pt idx="38">
                  <c:v>2.084652370104283E-2</c:v>
                </c:pt>
                <c:pt idx="39">
                  <c:v>1.7844567447426952E-2</c:v>
                </c:pt>
                <c:pt idx="40">
                  <c:v>-2.5036752404851547E-2</c:v>
                </c:pt>
                <c:pt idx="41">
                  <c:v>3.6199647586501557E-2</c:v>
                </c:pt>
                <c:pt idx="42">
                  <c:v>-3.9191108236839869E-2</c:v>
                </c:pt>
                <c:pt idx="43">
                  <c:v>2.7279255319148921E-2</c:v>
                </c:pt>
                <c:pt idx="44">
                  <c:v>-7.0955421239376586E-3</c:v>
                </c:pt>
                <c:pt idx="45">
                  <c:v>-4.087084126458658E-2</c:v>
                </c:pt>
                <c:pt idx="46">
                  <c:v>1.030082051722548E-3</c:v>
                </c:pt>
                <c:pt idx="47">
                  <c:v>5.2802942559193086E-2</c:v>
                </c:pt>
                <c:pt idx="48">
                  <c:v>3.5907349373230854E-2</c:v>
                </c:pt>
                <c:pt idx="49">
                  <c:v>6.450427682737226E-3</c:v>
                </c:pt>
                <c:pt idx="50">
                  <c:v>2.2652469990766356E-2</c:v>
                </c:pt>
                <c:pt idx="51">
                  <c:v>3.1846223021582729E-2</c:v>
                </c:pt>
                <c:pt idx="52">
                  <c:v>1.8806134259259078E-2</c:v>
                </c:pt>
                <c:pt idx="53">
                  <c:v>-3.7007018598401269E-3</c:v>
                </c:pt>
                <c:pt idx="54">
                  <c:v>-3.9836272707994384E-3</c:v>
                </c:pt>
                <c:pt idx="55">
                  <c:v>2.4216225528305758E-2</c:v>
                </c:pt>
                <c:pt idx="56">
                  <c:v>8.7959621993127131E-3</c:v>
                </c:pt>
                <c:pt idx="57">
                  <c:v>-6.5259482290677087E-2</c:v>
                </c:pt>
                <c:pt idx="58">
                  <c:v>8.2888080870130817E-2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1C-DA49-B2A3-B16BDA065A4C}"/>
            </c:ext>
          </c:extLst>
        </c:ser>
        <c:ser>
          <c:idx val="1"/>
          <c:order val="1"/>
          <c:tx>
            <c:strRef>
              <c:f>'Data. Securities'!$G$6</c:f>
              <c:strCache>
                <c:ptCount val="1"/>
                <c:pt idx="0">
                  <c:v>PWR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Securities'!$H$42:$H$100</c:f>
              <c:numCache>
                <c:formatCode>0.00%</c:formatCode>
                <c:ptCount val="59"/>
                <c:pt idx="0">
                  <c:v>-5.4256095962244413E-2</c:v>
                </c:pt>
                <c:pt idx="1">
                  <c:v>-4.8140940708825061E-4</c:v>
                </c:pt>
                <c:pt idx="2">
                  <c:v>0.119087321232123</c:v>
                </c:pt>
                <c:pt idx="3">
                  <c:v>0.11066442213516152</c:v>
                </c:pt>
                <c:pt idx="4">
                  <c:v>6.1417083992268459E-2</c:v>
                </c:pt>
                <c:pt idx="5">
                  <c:v>-6.5965369393139864E-2</c:v>
                </c:pt>
                <c:pt idx="6">
                  <c:v>3.6092239409385891E-3</c:v>
                </c:pt>
                <c:pt idx="7">
                  <c:v>-0.1082589612768184</c:v>
                </c:pt>
                <c:pt idx="8">
                  <c:v>5.6427959501557698E-2</c:v>
                </c:pt>
                <c:pt idx="9">
                  <c:v>0.203971199742978</c:v>
                </c:pt>
                <c:pt idx="10">
                  <c:v>-0.12288497264645555</c:v>
                </c:pt>
                <c:pt idx="11">
                  <c:v>2.1913972236592572E-2</c:v>
                </c:pt>
                <c:pt idx="12">
                  <c:v>4.9152310924369821E-2</c:v>
                </c:pt>
                <c:pt idx="13">
                  <c:v>0.10270442396681016</c:v>
                </c:pt>
                <c:pt idx="14">
                  <c:v>1.4400192820586955E-2</c:v>
                </c:pt>
                <c:pt idx="15">
                  <c:v>-0.10256802901627744</c:v>
                </c:pt>
                <c:pt idx="16">
                  <c:v>0.11087617748645877</c:v>
                </c:pt>
                <c:pt idx="17">
                  <c:v>5.1070719515629401E-2</c:v>
                </c:pt>
                <c:pt idx="18">
                  <c:v>-5.3364391513210555E-2</c:v>
                </c:pt>
                <c:pt idx="19">
                  <c:v>6.3875000000000057E-2</c:v>
                </c:pt>
                <c:pt idx="20">
                  <c:v>5.6391459688547238E-2</c:v>
                </c:pt>
                <c:pt idx="21">
                  <c:v>2.8340923172242839E-2</c:v>
                </c:pt>
                <c:pt idx="22">
                  <c:v>1.3877880460873838E-2</c:v>
                </c:pt>
                <c:pt idx="23">
                  <c:v>4.2679998821032836E-2</c:v>
                </c:pt>
                <c:pt idx="24">
                  <c:v>0.10213696643766183</c:v>
                </c:pt>
                <c:pt idx="25">
                  <c:v>2.2192129040468456E-2</c:v>
                </c:pt>
                <c:pt idx="26">
                  <c:v>3.6793559666699657E-2</c:v>
                </c:pt>
                <c:pt idx="27">
                  <c:v>-0.11276368108829278</c:v>
                </c:pt>
                <c:pt idx="28">
                  <c:v>-0.11076957155075635</c:v>
                </c:pt>
                <c:pt idx="29">
                  <c:v>0.12267011728099557</c:v>
                </c:pt>
                <c:pt idx="30">
                  <c:v>0.14185768812065208</c:v>
                </c:pt>
                <c:pt idx="31">
                  <c:v>-0.1049127664504171</c:v>
                </c:pt>
                <c:pt idx="32">
                  <c:v>0.24045114017005925</c:v>
                </c:pt>
                <c:pt idx="33">
                  <c:v>7.1606853753467911E-2</c:v>
                </c:pt>
                <c:pt idx="34">
                  <c:v>-8.897902232486609E-3</c:v>
                </c:pt>
                <c:pt idx="35">
                  <c:v>6.3093440594059455E-2</c:v>
                </c:pt>
                <c:pt idx="36">
                  <c:v>-8.3308880553743594E-2</c:v>
                </c:pt>
                <c:pt idx="37">
                  <c:v>4.0308074894722365E-2</c:v>
                </c:pt>
                <c:pt idx="38">
                  <c:v>3.2614769387293727E-2</c:v>
                </c:pt>
                <c:pt idx="39">
                  <c:v>7.9544538036564402E-2</c:v>
                </c:pt>
                <c:pt idx="40">
                  <c:v>7.5469771926883096E-3</c:v>
                </c:pt>
                <c:pt idx="41">
                  <c:v>0.13806907883831182</c:v>
                </c:pt>
                <c:pt idx="42">
                  <c:v>-8.6761711947056688E-2</c:v>
                </c:pt>
                <c:pt idx="43">
                  <c:v>-3.0829635342509109E-2</c:v>
                </c:pt>
                <c:pt idx="44">
                  <c:v>-0.16010172377360948</c:v>
                </c:pt>
                <c:pt idx="45">
                  <c:v>-2.5116410853907433E-2</c:v>
                </c:pt>
                <c:pt idx="46">
                  <c:v>0.14738180620033042</c:v>
                </c:pt>
                <c:pt idx="47">
                  <c:v>0.16626004902798192</c:v>
                </c:pt>
                <c:pt idx="48">
                  <c:v>9.9564864549276086E-2</c:v>
                </c:pt>
                <c:pt idx="49">
                  <c:v>7.0065647482014423E-2</c:v>
                </c:pt>
                <c:pt idx="50">
                  <c:v>-7.348702693718763E-2</c:v>
                </c:pt>
                <c:pt idx="51">
                  <c:v>9.2340234416340358E-2</c:v>
                </c:pt>
                <c:pt idx="52">
                  <c:v>7.9630610250470399E-2</c:v>
                </c:pt>
                <c:pt idx="53">
                  <c:v>3.0942797742301732E-2</c:v>
                </c:pt>
                <c:pt idx="54">
                  <c:v>-9.6234791774221298E-2</c:v>
                </c:pt>
                <c:pt idx="55">
                  <c:v>0.12043075036724631</c:v>
                </c:pt>
                <c:pt idx="56">
                  <c:v>0.18223068758822664</c:v>
                </c:pt>
                <c:pt idx="57">
                  <c:v>-2.909480890814815E-2</c:v>
                </c:pt>
                <c:pt idx="58">
                  <c:v>8.5343507522494574E-2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1C-DA49-B2A3-B16BDA065A4C}"/>
            </c:ext>
          </c:extLst>
        </c:ser>
        <c:ser>
          <c:idx val="2"/>
          <c:order val="2"/>
          <c:tx>
            <c:strRef>
              <c:f>'Data. Securities'!$H$6</c:f>
              <c:strCache>
                <c:ptCount val="1"/>
                <c:pt idx="0">
                  <c:v>ETN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Securities'!$M$42:$M$100</c:f>
              <c:numCache>
                <c:formatCode>0.00%</c:formatCode>
                <c:ptCount val="59"/>
                <c:pt idx="0">
                  <c:v>1.604711703958699E-2</c:v>
                </c:pt>
                <c:pt idx="1">
                  <c:v>6.2483179241463002E-2</c:v>
                </c:pt>
                <c:pt idx="2">
                  <c:v>6.1107521354001923E-2</c:v>
                </c:pt>
                <c:pt idx="3">
                  <c:v>-0.11727539201710631</c:v>
                </c:pt>
                <c:pt idx="4">
                  <c:v>9.9350989551938815E-2</c:v>
                </c:pt>
                <c:pt idx="5">
                  <c:v>-2.0512472687545479E-2</c:v>
                </c:pt>
                <c:pt idx="6">
                  <c:v>6.227016228557318E-2</c:v>
                </c:pt>
                <c:pt idx="7">
                  <c:v>-8.7390825714616274E-2</c:v>
                </c:pt>
                <c:pt idx="8">
                  <c:v>-3.0256414504828699E-2</c:v>
                </c:pt>
                <c:pt idx="9">
                  <c:v>-2.0522692656685448E-2</c:v>
                </c:pt>
                <c:pt idx="10">
                  <c:v>-4.8537229836583998E-2</c:v>
                </c:pt>
                <c:pt idx="11">
                  <c:v>-4.8394755895738675E-2</c:v>
                </c:pt>
                <c:pt idx="12">
                  <c:v>-9.5106240981240944E-2</c:v>
                </c:pt>
                <c:pt idx="13">
                  <c:v>0.17366688824509885</c:v>
                </c:pt>
                <c:pt idx="14">
                  <c:v>-8.3308233371521004E-2</c:v>
                </c:pt>
                <c:pt idx="15">
                  <c:v>-2.8129683840749164E-2</c:v>
                </c:pt>
                <c:pt idx="16">
                  <c:v>0.1211749400119974</c:v>
                </c:pt>
                <c:pt idx="17">
                  <c:v>8.5033392750049883E-2</c:v>
                </c:pt>
                <c:pt idx="18">
                  <c:v>-4.3892513000917746E-2</c:v>
                </c:pt>
                <c:pt idx="19">
                  <c:v>2.9388857916534162E-2</c:v>
                </c:pt>
                <c:pt idx="20">
                  <c:v>7.4291867024227784E-2</c:v>
                </c:pt>
                <c:pt idx="21">
                  <c:v>-2.4647494712170603E-2</c:v>
                </c:pt>
                <c:pt idx="22">
                  <c:v>-2.875439185245705E-2</c:v>
                </c:pt>
                <c:pt idx="23">
                  <c:v>4.8412099090473878E-2</c:v>
                </c:pt>
                <c:pt idx="24">
                  <c:v>0.13913821773735074</c:v>
                </c:pt>
                <c:pt idx="25">
                  <c:v>1.6859584783689808E-2</c:v>
                </c:pt>
                <c:pt idx="26">
                  <c:v>0.11787967562828754</c:v>
                </c:pt>
                <c:pt idx="27">
                  <c:v>-7.8310006728306639E-2</c:v>
                </c:pt>
                <c:pt idx="28">
                  <c:v>-2.9303169542385609E-2</c:v>
                </c:pt>
                <c:pt idx="29">
                  <c:v>9.1012319032273511E-2</c:v>
                </c:pt>
                <c:pt idx="30">
                  <c:v>5.3541124994510067E-2</c:v>
                </c:pt>
                <c:pt idx="31">
                  <c:v>1.7717039697699711E-2</c:v>
                </c:pt>
                <c:pt idx="32">
                  <c:v>0.17028982444733426</c:v>
                </c:pt>
                <c:pt idx="33">
                  <c:v>7.7812716262975742E-2</c:v>
                </c:pt>
                <c:pt idx="34">
                  <c:v>1.3720720864781755E-2</c:v>
                </c:pt>
                <c:pt idx="35">
                  <c:v>4.171802142902041E-2</c:v>
                </c:pt>
                <c:pt idx="36">
                  <c:v>-6.2109076911521746E-2</c:v>
                </c:pt>
                <c:pt idx="37">
                  <c:v>-3.2063127890288604E-2</c:v>
                </c:pt>
                <c:pt idx="38">
                  <c:v>2.8962277305685687E-3</c:v>
                </c:pt>
                <c:pt idx="39">
                  <c:v>7.5730341608835891E-2</c:v>
                </c:pt>
                <c:pt idx="40">
                  <c:v>-3.7026007723871095E-3</c:v>
                </c:pt>
                <c:pt idx="41">
                  <c:v>0.12809045328427543</c:v>
                </c:pt>
                <c:pt idx="42">
                  <c:v>-0.12012840951467692</c:v>
                </c:pt>
                <c:pt idx="43">
                  <c:v>-2.0486828426793679E-2</c:v>
                </c:pt>
                <c:pt idx="44">
                  <c:v>-0.10558315463791208</c:v>
                </c:pt>
                <c:pt idx="45">
                  <c:v>-7.7389693849720456E-2</c:v>
                </c:pt>
                <c:pt idx="46">
                  <c:v>7.87944717286541E-2</c:v>
                </c:pt>
                <c:pt idx="47">
                  <c:v>8.3621713319971411E-2</c:v>
                </c:pt>
                <c:pt idx="48">
                  <c:v>0.11077193941286693</c:v>
                </c:pt>
                <c:pt idx="49">
                  <c:v>7.3552245861228702E-2</c:v>
                </c:pt>
                <c:pt idx="50">
                  <c:v>-9.66078446662509E-2</c:v>
                </c:pt>
                <c:pt idx="51">
                  <c:v>6.7794573809932965E-2</c:v>
                </c:pt>
                <c:pt idx="52">
                  <c:v>1.540739812959251E-2</c:v>
                </c:pt>
                <c:pt idx="53">
                  <c:v>-9.7609641996016364E-2</c:v>
                </c:pt>
                <c:pt idx="54">
                  <c:v>-8.3283113851224402E-2</c:v>
                </c:pt>
                <c:pt idx="55">
                  <c:v>9.9199856362437597E-2</c:v>
                </c:pt>
                <c:pt idx="56">
                  <c:v>6.559214757270497E-2</c:v>
                </c:pt>
                <c:pt idx="57">
                  <c:v>-5.2672563311342804E-2</c:v>
                </c:pt>
                <c:pt idx="58">
                  <c:v>0.13153077208040925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1C-DA49-B2A3-B16BDA065A4C}"/>
            </c:ext>
          </c:extLst>
        </c:ser>
        <c:ser>
          <c:idx val="3"/>
          <c:order val="3"/>
          <c:tx>
            <c:strRef>
              <c:f>'Data. Securities'!$I$6</c:f>
              <c:strCache>
                <c:ptCount val="1"/>
                <c:pt idx="0">
                  <c:v>AEP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Securities'!$R$42:$R$100</c:f>
              <c:numCache>
                <c:formatCode>0.00%</c:formatCode>
                <c:ptCount val="59"/>
                <c:pt idx="0">
                  <c:v>-2.0520348837209278E-2</c:v>
                </c:pt>
                <c:pt idx="1">
                  <c:v>3.760570102849041E-2</c:v>
                </c:pt>
                <c:pt idx="2">
                  <c:v>1.2329834316840472E-2</c:v>
                </c:pt>
                <c:pt idx="3">
                  <c:v>-9.7794755498492661E-2</c:v>
                </c:pt>
                <c:pt idx="4">
                  <c:v>3.9358616654348186E-2</c:v>
                </c:pt>
                <c:pt idx="5">
                  <c:v>-4.7331233030338773E-2</c:v>
                </c:pt>
                <c:pt idx="6">
                  <c:v>9.3592458359037664E-2</c:v>
                </c:pt>
                <c:pt idx="7">
                  <c:v>1.194783353939537E-2</c:v>
                </c:pt>
                <c:pt idx="8">
                  <c:v>-1.3595132743363207E-3</c:v>
                </c:pt>
                <c:pt idx="9">
                  <c:v>9.6481729178157602E-2</c:v>
                </c:pt>
                <c:pt idx="10">
                  <c:v>-1.0740214994487251E-2</c:v>
                </c:pt>
                <c:pt idx="11">
                  <c:v>2.5337213701947348E-2</c:v>
                </c:pt>
                <c:pt idx="12">
                  <c:v>-6.3813326962658026E-2</c:v>
                </c:pt>
                <c:pt idx="13">
                  <c:v>2.3183734625807851E-2</c:v>
                </c:pt>
                <c:pt idx="14">
                  <c:v>1.2514610389610482E-2</c:v>
                </c:pt>
                <c:pt idx="15">
                  <c:v>-0.14135054890219562</c:v>
                </c:pt>
                <c:pt idx="16">
                  <c:v>1.2879048582995867E-2</c:v>
                </c:pt>
                <c:pt idx="17">
                  <c:v>9.6875909918107281E-2</c:v>
                </c:pt>
                <c:pt idx="18">
                  <c:v>-2.3236570247933862E-2</c:v>
                </c:pt>
                <c:pt idx="19">
                  <c:v>-1.4551540284360297E-2</c:v>
                </c:pt>
                <c:pt idx="20">
                  <c:v>-6.7875532141336639E-2</c:v>
                </c:pt>
                <c:pt idx="21">
                  <c:v>3.0204885188132181E-2</c:v>
                </c:pt>
                <c:pt idx="22">
                  <c:v>1.1591012748653751E-2</c:v>
                </c:pt>
                <c:pt idx="23">
                  <c:v>-0.10475256979008869</c:v>
                </c:pt>
                <c:pt idx="24">
                  <c:v>8.8682627526467835E-3</c:v>
                </c:pt>
                <c:pt idx="25">
                  <c:v>2.2883016627077042E-3</c:v>
                </c:pt>
                <c:pt idx="26">
                  <c:v>-7.8942087561954047E-2</c:v>
                </c:pt>
                <c:pt idx="27">
                  <c:v>-4.4686224489796048E-2</c:v>
                </c:pt>
                <c:pt idx="28">
                  <c:v>1.2918771603314186E-4</c:v>
                </c:pt>
                <c:pt idx="29">
                  <c:v>4.8959458564998545E-2</c:v>
                </c:pt>
                <c:pt idx="30">
                  <c:v>1.6868086109365233E-2</c:v>
                </c:pt>
                <c:pt idx="31">
                  <c:v>-4.2046694163999046E-2</c:v>
                </c:pt>
                <c:pt idx="32">
                  <c:v>8.609767724596866E-2</c:v>
                </c:pt>
                <c:pt idx="33">
                  <c:v>6.5570049301561413E-3</c:v>
                </c:pt>
                <c:pt idx="34">
                  <c:v>-4.9380081300812277E-3</c:v>
                </c:pt>
                <c:pt idx="35">
                  <c:v>4.4927656050215134E-2</c:v>
                </c:pt>
                <c:pt idx="36">
                  <c:v>-3.193663434903056E-2</c:v>
                </c:pt>
                <c:pt idx="37">
                  <c:v>0.11417908023706407</c:v>
                </c:pt>
                <c:pt idx="38">
                  <c:v>1.7888860578882882E-2</c:v>
                </c:pt>
                <c:pt idx="39">
                  <c:v>1.9010221380135462E-2</c:v>
                </c:pt>
                <c:pt idx="40">
                  <c:v>-4.1649366471734853E-2</c:v>
                </c:pt>
                <c:pt idx="41">
                  <c:v>7.1155063291138861E-3</c:v>
                </c:pt>
                <c:pt idx="42">
                  <c:v>-8.0531969757660707E-2</c:v>
                </c:pt>
                <c:pt idx="43">
                  <c:v>6.2339274097365324E-2</c:v>
                </c:pt>
                <c:pt idx="44">
                  <c:v>7.4057187881252526E-2</c:v>
                </c:pt>
                <c:pt idx="45">
                  <c:v>2.6238036303630464E-2</c:v>
                </c:pt>
                <c:pt idx="46">
                  <c:v>-1.2636027729477427E-2</c:v>
                </c:pt>
                <c:pt idx="47">
                  <c:v>-4.8891475909174933E-2</c:v>
                </c:pt>
                <c:pt idx="48">
                  <c:v>-1.516052275582002E-3</c:v>
                </c:pt>
                <c:pt idx="49">
                  <c:v>8.627592521202769E-2</c:v>
                </c:pt>
                <c:pt idx="50">
                  <c:v>-2.2862846915326206E-2</c:v>
                </c:pt>
                <c:pt idx="51">
                  <c:v>9.2059313637182123E-3</c:v>
                </c:pt>
                <c:pt idx="52">
                  <c:v>6.4852777777777801E-2</c:v>
                </c:pt>
                <c:pt idx="53">
                  <c:v>2.506176201563275E-2</c:v>
                </c:pt>
                <c:pt idx="54">
                  <c:v>-7.247758948048795E-2</c:v>
                </c:pt>
                <c:pt idx="55">
                  <c:v>3.4640068077356576E-2</c:v>
                </c:pt>
                <c:pt idx="56">
                  <c:v>0.11308989397228235</c:v>
                </c:pt>
                <c:pt idx="57">
                  <c:v>-2.4600265281721611E-2</c:v>
                </c:pt>
                <c:pt idx="58">
                  <c:v>1.2658643576441687E-2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1C-DA49-B2A3-B16BDA065A4C}"/>
            </c:ext>
          </c:extLst>
        </c:ser>
        <c:ser>
          <c:idx val="4"/>
          <c:order val="4"/>
          <c:tx>
            <c:strRef>
              <c:f>'Data. Securities'!$J$6</c:f>
              <c:strCache>
                <c:ptCount val="1"/>
                <c:pt idx="0">
                  <c:v>SBGSY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Securities'!$W$42:$W$100</c:f>
              <c:numCache>
                <c:formatCode>0.00%</c:formatCode>
                <c:ptCount val="59"/>
                <c:pt idx="0">
                  <c:v>-8.8508979206048492E-3</c:v>
                </c:pt>
                <c:pt idx="1">
                  <c:v>5.6653727445394139E-2</c:v>
                </c:pt>
                <c:pt idx="2">
                  <c:v>6.0034952253058702E-2</c:v>
                </c:pt>
                <c:pt idx="3">
                  <c:v>-7.2436833987661278E-2</c:v>
                </c:pt>
                <c:pt idx="4">
                  <c:v>3.3979984348663825E-2</c:v>
                </c:pt>
                <c:pt idx="5">
                  <c:v>2.6318606842563087E-2</c:v>
                </c:pt>
                <c:pt idx="6">
                  <c:v>9.9138927968486154E-2</c:v>
                </c:pt>
                <c:pt idx="7">
                  <c:v>-0.1451604501402704</c:v>
                </c:pt>
                <c:pt idx="8">
                  <c:v>-9.2010985748218602E-2</c:v>
                </c:pt>
                <c:pt idx="9">
                  <c:v>9.5484374999999996E-2</c:v>
                </c:pt>
                <c:pt idx="10">
                  <c:v>-0.16131860568383666</c:v>
                </c:pt>
                <c:pt idx="11">
                  <c:v>-3.0819766420793714E-2</c:v>
                </c:pt>
                <c:pt idx="12">
                  <c:v>-0.15280778599783479</c:v>
                </c:pt>
                <c:pt idx="13">
                  <c:v>0.16798182492581598</c:v>
                </c:pt>
                <c:pt idx="14">
                  <c:v>-0.14553548824593127</c:v>
                </c:pt>
                <c:pt idx="15">
                  <c:v>-5.6357518955349531E-2</c:v>
                </c:pt>
                <c:pt idx="16">
                  <c:v>0.11987499999999988</c:v>
                </c:pt>
                <c:pt idx="17">
                  <c:v>0.15127239027283518</c:v>
                </c:pt>
                <c:pt idx="18">
                  <c:v>-4.7246149897330517E-2</c:v>
                </c:pt>
                <c:pt idx="19">
                  <c:v>0.15610389842632316</c:v>
                </c:pt>
                <c:pt idx="20">
                  <c:v>-1.6147194821208365E-2</c:v>
                </c:pt>
                <c:pt idx="21">
                  <c:v>3.5812597503900243E-2</c:v>
                </c:pt>
                <c:pt idx="22">
                  <c:v>4.1779590459046043E-2</c:v>
                </c:pt>
                <c:pt idx="23">
                  <c:v>-1.5886331038439349E-2</c:v>
                </c:pt>
                <c:pt idx="24">
                  <c:v>5.1317670537010127E-2</c:v>
                </c:pt>
                <c:pt idx="25">
                  <c:v>-2.5027090209020896E-2</c:v>
                </c:pt>
                <c:pt idx="26">
                  <c:v>-3.9799157303370872E-2</c:v>
                </c:pt>
                <c:pt idx="27">
                  <c:v>-4.3157915817069473E-2</c:v>
                </c:pt>
                <c:pt idx="28">
                  <c:v>-7.5661829342225054E-2</c:v>
                </c:pt>
                <c:pt idx="29">
                  <c:v>0.19665854554358492</c:v>
                </c:pt>
                <c:pt idx="30">
                  <c:v>8.9675978792822006E-2</c:v>
                </c:pt>
                <c:pt idx="31">
                  <c:v>-2.7739218245090579E-2</c:v>
                </c:pt>
                <c:pt idx="32">
                  <c:v>0.1532069755600815</c:v>
                </c:pt>
                <c:pt idx="33">
                  <c:v>-7.6445776506820044E-3</c:v>
                </c:pt>
                <c:pt idx="34">
                  <c:v>4.7050220750552325E-3</c:v>
                </c:pt>
                <c:pt idx="35">
                  <c:v>8.6903446389496583E-2</c:v>
                </c:pt>
                <c:pt idx="36">
                  <c:v>-3.8621590453269142E-2</c:v>
                </c:pt>
                <c:pt idx="37">
                  <c:v>-3.7095450768592324E-3</c:v>
                </c:pt>
                <c:pt idx="38">
                  <c:v>4.9861710963455083E-2</c:v>
                </c:pt>
                <c:pt idx="39">
                  <c:v>3.4685086682427022E-2</c:v>
                </c:pt>
                <c:pt idx="40">
                  <c:v>-2.3848117769770538E-2</c:v>
                </c:pt>
                <c:pt idx="41">
                  <c:v>-6.4465322112594141E-3</c:v>
                </c:pt>
                <c:pt idx="42">
                  <c:v>-4.1549859414388227E-2</c:v>
                </c:pt>
                <c:pt idx="43">
                  <c:v>1.2595386784850882E-2</c:v>
                </c:pt>
                <c:pt idx="44">
                  <c:v>-4.8111526649494765E-2</c:v>
                </c:pt>
                <c:pt idx="45">
                  <c:v>-5.2415155440414488E-2</c:v>
                </c:pt>
                <c:pt idx="46">
                  <c:v>3.4969512195121462E-3</c:v>
                </c:pt>
                <c:pt idx="47">
                  <c:v>7.9730629997838573E-2</c:v>
                </c:pt>
                <c:pt idx="48">
                  <c:v>6.028177966101704E-2</c:v>
                </c:pt>
                <c:pt idx="49">
                  <c:v>-2.5293977144998214E-2</c:v>
                </c:pt>
                <c:pt idx="50">
                  <c:v>-6.3684808612440261E-2</c:v>
                </c:pt>
                <c:pt idx="51">
                  <c:v>0.13592954027432963</c:v>
                </c:pt>
                <c:pt idx="52">
                  <c:v>8.0135219564440481E-3</c:v>
                </c:pt>
                <c:pt idx="53">
                  <c:v>-5.8093253968254002E-2</c:v>
                </c:pt>
                <c:pt idx="54">
                  <c:v>2.001743102162561E-2</c:v>
                </c:pt>
                <c:pt idx="55">
                  <c:v>3.4193012196231873E-2</c:v>
                </c:pt>
                <c:pt idx="56">
                  <c:v>0.13910781907433373</c:v>
                </c:pt>
                <c:pt idx="57">
                  <c:v>-0.16943706870111935</c:v>
                </c:pt>
                <c:pt idx="58">
                  <c:v>0.20256248851736197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1C-DA49-B2A3-B16BDA065A4C}"/>
            </c:ext>
          </c:extLst>
        </c:ser>
        <c:ser>
          <c:idx val="5"/>
          <c:order val="5"/>
          <c:tx>
            <c:strRef>
              <c:f>'Data. Securities'!$K$6</c:f>
              <c:strCache>
                <c:ptCount val="1"/>
                <c:pt idx="0">
                  <c:v>NVT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Securities'!$AB$42:$AB$99</c:f>
              <c:numCache>
                <c:formatCode>0.00%</c:formatCode>
                <c:ptCount val="58"/>
                <c:pt idx="0">
                  <c:v>-4.4075829748002462E-2</c:v>
                </c:pt>
                <c:pt idx="1">
                  <c:v>7.7187900128041116E-3</c:v>
                </c:pt>
                <c:pt idx="2">
                  <c:v>8.2872785510914301E-2</c:v>
                </c:pt>
                <c:pt idx="3">
                  <c:v>-6.3205325960419126E-2</c:v>
                </c:pt>
                <c:pt idx="4">
                  <c:v>9.2379794308691851E-2</c:v>
                </c:pt>
                <c:pt idx="5">
                  <c:v>-2.1614421720733534E-2</c:v>
                </c:pt>
                <c:pt idx="6">
                  <c:v>8.6888494114269285E-2</c:v>
                </c:pt>
                <c:pt idx="7">
                  <c:v>-9.3861842105263119E-2</c:v>
                </c:pt>
                <c:pt idx="8">
                  <c:v>-2.3205659150043422E-2</c:v>
                </c:pt>
                <c:pt idx="9">
                  <c:v>2.0926576775714679E-2</c:v>
                </c:pt>
                <c:pt idx="10">
                  <c:v>-3.2877156411730904E-2</c:v>
                </c:pt>
                <c:pt idx="11">
                  <c:v>4.3832371225577191E-2</c:v>
                </c:pt>
                <c:pt idx="12">
                  <c:v>-0.11909675141242944</c:v>
                </c:pt>
                <c:pt idx="13">
                  <c:v>0.12290979093520608</c:v>
                </c:pt>
                <c:pt idx="14">
                  <c:v>-7.0678384310393708E-2</c:v>
                </c:pt>
                <c:pt idx="15">
                  <c:v>-4.5083737864077669E-2</c:v>
                </c:pt>
                <c:pt idx="16">
                  <c:v>0.15057288041758937</c:v>
                </c:pt>
                <c:pt idx="17">
                  <c:v>9.2039383561643692E-2</c:v>
                </c:pt>
                <c:pt idx="18">
                  <c:v>-4.2615377405648538E-2</c:v>
                </c:pt>
                <c:pt idx="19">
                  <c:v>2.9147680010397737E-2</c:v>
                </c:pt>
                <c:pt idx="20">
                  <c:v>0.14908254716981134</c:v>
                </c:pt>
                <c:pt idx="21">
                  <c:v>-6.7388525305410243E-2</c:v>
                </c:pt>
                <c:pt idx="22">
                  <c:v>-2.7646192361434462E-2</c:v>
                </c:pt>
                <c:pt idx="23">
                  <c:v>3.0456445265919441E-2</c:v>
                </c:pt>
                <c:pt idx="24">
                  <c:v>0.18697689027201475</c:v>
                </c:pt>
                <c:pt idx="25">
                  <c:v>1.9292844010063859E-2</c:v>
                </c:pt>
                <c:pt idx="26">
                  <c:v>6.5088313161875952E-2</c:v>
                </c:pt>
                <c:pt idx="27">
                  <c:v>-6.6912407145383782E-2</c:v>
                </c:pt>
                <c:pt idx="28">
                  <c:v>-9.5840418003396891E-2</c:v>
                </c:pt>
                <c:pt idx="29">
                  <c:v>0.10225355807188856</c:v>
                </c:pt>
                <c:pt idx="30">
                  <c:v>0.10554636150234746</c:v>
                </c:pt>
                <c:pt idx="31">
                  <c:v>1.195217041800627E-2</c:v>
                </c:pt>
                <c:pt idx="32">
                  <c:v>0.11712749833444362</c:v>
                </c:pt>
                <c:pt idx="33">
                  <c:v>0.11589876708259077</c:v>
                </c:pt>
                <c:pt idx="34">
                  <c:v>-4.8289456233421915E-2</c:v>
                </c:pt>
                <c:pt idx="35">
                  <c:v>0.12505496392396281</c:v>
                </c:pt>
                <c:pt idx="36">
                  <c:v>-6.2738910051609656E-2</c:v>
                </c:pt>
                <c:pt idx="37">
                  <c:v>-5.6076442370447802E-2</c:v>
                </c:pt>
                <c:pt idx="38">
                  <c:v>-6.8423499242737232E-2</c:v>
                </c:pt>
                <c:pt idx="39">
                  <c:v>2.9718437316068536E-2</c:v>
                </c:pt>
                <c:pt idx="40">
                  <c:v>5.7218580984912989E-2</c:v>
                </c:pt>
                <c:pt idx="41">
                  <c:v>4.6029217513745488E-2</c:v>
                </c:pt>
                <c:pt idx="42">
                  <c:v>-0.13373807623547446</c:v>
                </c:pt>
                <c:pt idx="43">
                  <c:v>-4.9166079812206512E-2</c:v>
                </c:pt>
                <c:pt idx="44">
                  <c:v>-7.7100879551390403E-2</c:v>
                </c:pt>
                <c:pt idx="45">
                  <c:v>-0.13538121478289694</c:v>
                </c:pt>
                <c:pt idx="46">
                  <c:v>4.3375953834414213E-2</c:v>
                </c:pt>
                <c:pt idx="47">
                  <c:v>0.19419953105081039</c:v>
                </c:pt>
                <c:pt idx="48">
                  <c:v>0.10909688449848025</c:v>
                </c:pt>
                <c:pt idx="49">
                  <c:v>6.6455204778156959E-2</c:v>
                </c:pt>
                <c:pt idx="50">
                  <c:v>0.14851463274674831</c:v>
                </c:pt>
                <c:pt idx="51">
                  <c:v>8.7146158313972696E-2</c:v>
                </c:pt>
                <c:pt idx="52">
                  <c:v>0.15514101784266016</c:v>
                </c:pt>
                <c:pt idx="53">
                  <c:v>-6.6040172715347636E-2</c:v>
                </c:pt>
                <c:pt idx="54">
                  <c:v>-5.3533035797520293E-2</c:v>
                </c:pt>
                <c:pt idx="55">
                  <c:v>9.6787032950867921E-2</c:v>
                </c:pt>
                <c:pt idx="56">
                  <c:v>5.021314359522526E-2</c:v>
                </c:pt>
                <c:pt idx="57">
                  <c:v>-4.8009040216288705E-3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1C-DA49-B2A3-B16BDA065A4C}"/>
            </c:ext>
          </c:extLst>
        </c:ser>
        <c:ser>
          <c:idx val="6"/>
          <c:order val="6"/>
          <c:tx>
            <c:strRef>
              <c:f>'Data. Securities'!$L$6</c:f>
              <c:strCache>
                <c:ptCount val="1"/>
                <c:pt idx="0">
                  <c:v>HUBB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Securities'!$AG$42:$AG$100</c:f>
              <c:numCache>
                <c:formatCode>0.00%</c:formatCode>
                <c:ptCount val="59"/>
                <c:pt idx="0">
                  <c:v>-2.4057857742341548E-2</c:v>
                </c:pt>
                <c:pt idx="1">
                  <c:v>6.8771596017983258E-2</c:v>
                </c:pt>
                <c:pt idx="2">
                  <c:v>2.4060174099571108E-2</c:v>
                </c:pt>
                <c:pt idx="3">
                  <c:v>-0.12755423681529293</c:v>
                </c:pt>
                <c:pt idx="4">
                  <c:v>9.9378625394365525E-2</c:v>
                </c:pt>
                <c:pt idx="5">
                  <c:v>-2.253298515323272E-2</c:v>
                </c:pt>
                <c:pt idx="6">
                  <c:v>6.0105965763924393E-2</c:v>
                </c:pt>
                <c:pt idx="7">
                  <c:v>-0.10485962332549099</c:v>
                </c:pt>
                <c:pt idx="8">
                  <c:v>-5.2392392813284186E-2</c:v>
                </c:pt>
                <c:pt idx="9">
                  <c:v>2.6842741935483905E-2</c:v>
                </c:pt>
                <c:pt idx="10">
                  <c:v>5.8942965391522037E-2</c:v>
                </c:pt>
                <c:pt idx="11">
                  <c:v>-3.2278153153153147E-2</c:v>
                </c:pt>
                <c:pt idx="12">
                  <c:v>-6.3537198462024616E-2</c:v>
                </c:pt>
                <c:pt idx="13">
                  <c:v>0.2223281302497479</c:v>
                </c:pt>
                <c:pt idx="14">
                  <c:v>-6.2201887955437865E-2</c:v>
                </c:pt>
                <c:pt idx="15">
                  <c:v>7.6825072709646156E-2</c:v>
                </c:pt>
                <c:pt idx="16">
                  <c:v>6.0807735426008966E-2</c:v>
                </c:pt>
                <c:pt idx="17">
                  <c:v>6.569140559204982E-2</c:v>
                </c:pt>
                <c:pt idx="18">
                  <c:v>-8.0406193418877406E-2</c:v>
                </c:pt>
                <c:pt idx="19">
                  <c:v>-2.8711671211862976E-2</c:v>
                </c:pt>
                <c:pt idx="20">
                  <c:v>9.4734813900659562E-2</c:v>
                </c:pt>
                <c:pt idx="21">
                  <c:v>-3.6843454321380212E-2</c:v>
                </c:pt>
                <c:pt idx="22">
                  <c:v>0.10277566170728696</c:v>
                </c:pt>
                <c:pt idx="23">
                  <c:v>4.4664544036833551E-2</c:v>
                </c:pt>
                <c:pt idx="24">
                  <c:v>0.16970492282093058</c:v>
                </c:pt>
                <c:pt idx="25">
                  <c:v>-6.3118847267462933E-2</c:v>
                </c:pt>
                <c:pt idx="26">
                  <c:v>4.0907051282051229E-2</c:v>
                </c:pt>
                <c:pt idx="27">
                  <c:v>-4.2892060266830193E-2</c:v>
                </c:pt>
                <c:pt idx="28">
                  <c:v>-0.14231459190836288</c:v>
                </c:pt>
                <c:pt idx="29">
                  <c:v>0.10657474083672695</c:v>
                </c:pt>
                <c:pt idx="30">
                  <c:v>9.2308333333333367E-2</c:v>
                </c:pt>
                <c:pt idx="31">
                  <c:v>1.6061665855957075E-2</c:v>
                </c:pt>
                <c:pt idx="32">
                  <c:v>0.13027318815746342</c:v>
                </c:pt>
                <c:pt idx="33">
                  <c:v>8.6189445582788224E-2</c:v>
                </c:pt>
                <c:pt idx="34">
                  <c:v>-0.11141327852066026</c:v>
                </c:pt>
                <c:pt idx="35">
                  <c:v>4.5453970096081139E-2</c:v>
                </c:pt>
                <c:pt idx="36">
                  <c:v>-6.4321970865797454E-2</c:v>
                </c:pt>
                <c:pt idx="37">
                  <c:v>7.842397668819083E-2</c:v>
                </c:pt>
                <c:pt idx="38">
                  <c:v>6.6673669910274798E-3</c:v>
                </c:pt>
                <c:pt idx="39">
                  <c:v>6.6964217843568694E-2</c:v>
                </c:pt>
                <c:pt idx="40">
                  <c:v>-7.2065921559473882E-3</c:v>
                </c:pt>
                <c:pt idx="41">
                  <c:v>7.3293448352574828E-2</c:v>
                </c:pt>
                <c:pt idx="42">
                  <c:v>-9.3672697189680257E-2</c:v>
                </c:pt>
                <c:pt idx="43">
                  <c:v>5.7105176776718787E-3</c:v>
                </c:pt>
                <c:pt idx="44">
                  <c:v>-0.12568240999030761</c:v>
                </c:pt>
                <c:pt idx="45">
                  <c:v>-0.11360049718776062</c:v>
                </c:pt>
                <c:pt idx="46">
                  <c:v>9.3393962859992172E-2</c:v>
                </c:pt>
                <c:pt idx="47">
                  <c:v>6.8566227490500495E-2</c:v>
                </c:pt>
                <c:pt idx="48">
                  <c:v>4.4209103393398161E-2</c:v>
                </c:pt>
                <c:pt idx="49">
                  <c:v>6.705347261330534E-2</c:v>
                </c:pt>
                <c:pt idx="50">
                  <c:v>-1.8959963884063246E-2</c:v>
                </c:pt>
                <c:pt idx="51">
                  <c:v>-5.7027628251235633E-3</c:v>
                </c:pt>
                <c:pt idx="52">
                  <c:v>8.8110829983035474E-2</c:v>
                </c:pt>
                <c:pt idx="53">
                  <c:v>-8.6188829787234036E-2</c:v>
                </c:pt>
                <c:pt idx="54">
                  <c:v>2.5265631156850588E-2</c:v>
                </c:pt>
                <c:pt idx="55">
                  <c:v>9.4566765553579055E-2</c:v>
                </c:pt>
                <c:pt idx="56">
                  <c:v>4.4426051358773685E-2</c:v>
                </c:pt>
                <c:pt idx="57">
                  <c:v>-4.4955287512460099E-2</c:v>
                </c:pt>
                <c:pt idx="58">
                  <c:v>9.4888734360353874E-2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C2-C14F-BE2B-F6E251A0C32D}"/>
            </c:ext>
          </c:extLst>
        </c:ser>
        <c:ser>
          <c:idx val="7"/>
          <c:order val="7"/>
          <c:tx>
            <c:strRef>
              <c:f>'Data. Securities'!$M$6</c:f>
              <c:strCache>
                <c:ptCount val="1"/>
                <c:pt idx="0">
                  <c:v>MLI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Securities'!$AL$42:$AL$100</c:f>
              <c:numCache>
                <c:formatCode>0.00%</c:formatCode>
                <c:ptCount val="59"/>
                <c:pt idx="0">
                  <c:v>-7.130846253229968E-2</c:v>
                </c:pt>
                <c:pt idx="1">
                  <c:v>-2.2782779316713013E-3</c:v>
                </c:pt>
                <c:pt idx="2">
                  <c:v>2.3985599078341014E-2</c:v>
                </c:pt>
                <c:pt idx="3">
                  <c:v>-8.301339085611821E-2</c:v>
                </c:pt>
                <c:pt idx="4">
                  <c:v>0.27665358880778584</c:v>
                </c:pt>
                <c:pt idx="5">
                  <c:v>4.7166793313069874E-2</c:v>
                </c:pt>
                <c:pt idx="6">
                  <c:v>6.8516850379472347E-2</c:v>
                </c:pt>
                <c:pt idx="7">
                  <c:v>-0.13384198113207552</c:v>
                </c:pt>
                <c:pt idx="8">
                  <c:v>0.10001746999612864</c:v>
                </c:pt>
                <c:pt idx="9">
                  <c:v>-5.4615883590462835E-2</c:v>
                </c:pt>
                <c:pt idx="10">
                  <c:v>-4.1250000000000002E-3</c:v>
                </c:pt>
                <c:pt idx="11">
                  <c:v>-1.0033419497784201E-2</c:v>
                </c:pt>
                <c:pt idx="12">
                  <c:v>-1.4154717682020878E-2</c:v>
                </c:pt>
                <c:pt idx="13">
                  <c:v>0.25928963414634171</c:v>
                </c:pt>
                <c:pt idx="14">
                  <c:v>-6.6198062073062183E-2</c:v>
                </c:pt>
                <c:pt idx="15">
                  <c:v>-6.302303673210892E-2</c:v>
                </c:pt>
                <c:pt idx="16">
                  <c:v>4.9710800807537023E-2</c:v>
                </c:pt>
                <c:pt idx="17">
                  <c:v>9.3576149425287511E-2</c:v>
                </c:pt>
                <c:pt idx="18">
                  <c:v>-0.14606799011052946</c:v>
                </c:pt>
                <c:pt idx="19">
                  <c:v>0.10706144067796612</c:v>
                </c:pt>
                <c:pt idx="20">
                  <c:v>0.12430697071384993</c:v>
                </c:pt>
                <c:pt idx="21">
                  <c:v>-1.0883583400919172E-2</c:v>
                </c:pt>
                <c:pt idx="22">
                  <c:v>-2.6443998366902543E-2</c:v>
                </c:pt>
                <c:pt idx="23">
                  <c:v>2.9560968819599177E-2</c:v>
                </c:pt>
                <c:pt idx="24">
                  <c:v>0.17120492189604092</c:v>
                </c:pt>
                <c:pt idx="25">
                  <c:v>-7.5389894592117271E-2</c:v>
                </c:pt>
                <c:pt idx="26">
                  <c:v>-5.2237509252405737E-2</c:v>
                </c:pt>
                <c:pt idx="27">
                  <c:v>-3.0045165889061653E-2</c:v>
                </c:pt>
                <c:pt idx="28">
                  <c:v>-6.6571314528991385E-4</c:v>
                </c:pt>
                <c:pt idx="29">
                  <c:v>9.7174390082206338E-2</c:v>
                </c:pt>
                <c:pt idx="30">
                  <c:v>0.13119886226823979</c:v>
                </c:pt>
                <c:pt idx="31">
                  <c:v>1.3902571580063739E-2</c:v>
                </c:pt>
                <c:pt idx="32">
                  <c:v>6.629166666666679E-2</c:v>
                </c:pt>
                <c:pt idx="33">
                  <c:v>4.550520630595549E-2</c:v>
                </c:pt>
                <c:pt idx="34">
                  <c:v>3.0920429260152083E-2</c:v>
                </c:pt>
                <c:pt idx="35">
                  <c:v>5.1231503045503432E-2</c:v>
                </c:pt>
                <c:pt idx="36">
                  <c:v>-3.7565841962315341E-2</c:v>
                </c:pt>
                <c:pt idx="37">
                  <c:v>0.24174784861257476</c:v>
                </c:pt>
                <c:pt idx="38">
                  <c:v>2.0825662531716849E-2</c:v>
                </c:pt>
                <c:pt idx="39">
                  <c:v>1.499204029707062E-2</c:v>
                </c:pt>
                <c:pt idx="40">
                  <c:v>0.10208282726045896</c:v>
                </c:pt>
                <c:pt idx="41">
                  <c:v>-1.8764502256923343E-2</c:v>
                </c:pt>
                <c:pt idx="42">
                  <c:v>-2.1581976600222829E-2</c:v>
                </c:pt>
                <c:pt idx="43">
                  <c:v>-1.1811491935483875E-2</c:v>
                </c:pt>
                <c:pt idx="44">
                  <c:v>1.4033730158730263E-2</c:v>
                </c:pt>
                <c:pt idx="45">
                  <c:v>-5.4511630082314924E-2</c:v>
                </c:pt>
                <c:pt idx="46">
                  <c:v>-3.8009948778565741E-2</c:v>
                </c:pt>
                <c:pt idx="47">
                  <c:v>5.4466625883632533E-2</c:v>
                </c:pt>
                <c:pt idx="48">
                  <c:v>1.6422065622190663E-2</c:v>
                </c:pt>
                <c:pt idx="49">
                  <c:v>7.0116852271297311E-2</c:v>
                </c:pt>
                <c:pt idx="50">
                  <c:v>0.11968898617781402</c:v>
                </c:pt>
                <c:pt idx="51">
                  <c:v>4.9762846570773497E-2</c:v>
                </c:pt>
                <c:pt idx="52">
                  <c:v>4.2952440411433132E-2</c:v>
                </c:pt>
                <c:pt idx="53">
                  <c:v>3.365718569944269E-2</c:v>
                </c:pt>
                <c:pt idx="54">
                  <c:v>4.0746211431692034E-2</c:v>
                </c:pt>
                <c:pt idx="55">
                  <c:v>0.18176350174216011</c:v>
                </c:pt>
                <c:pt idx="56">
                  <c:v>-0.13766400396650497</c:v>
                </c:pt>
                <c:pt idx="57">
                  <c:v>-6.4823541878602911E-2</c:v>
                </c:pt>
                <c:pt idx="58">
                  <c:v>8.7030234657039893E-2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C2-C14F-BE2B-F6E251A0C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5793839"/>
        <c:axId val="1322407279"/>
      </c:lineChart>
      <c:dateAx>
        <c:axId val="275793839"/>
        <c:scaling>
          <c:orientation val="minMax"/>
        </c:scaling>
        <c:delete val="0"/>
        <c:axPos val="b"/>
        <c:numFmt formatCode="m/d/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2407279"/>
        <c:crosses val="autoZero"/>
        <c:auto val="1"/>
        <c:lblOffset val="100"/>
        <c:baseTimeUnit val="months"/>
      </c:dateAx>
      <c:valAx>
        <c:axId val="1322407279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793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Benchmark</a:t>
            </a:r>
            <a:r>
              <a:rPr lang="en-US" b="1" baseline="0"/>
              <a:t> Excess Return vs. Active Pf Excess Return. </a:t>
            </a:r>
            <a:br>
              <a:rPr lang="en-US" b="1" baseline="0"/>
            </a:br>
            <a:r>
              <a:rPr lang="en-US" b="1" baseline="0"/>
              <a:t>59 months Back Data Tracking (2019 -2024)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460708201973968E-2"/>
          <c:y val="0.16074314562793468"/>
          <c:w val="0.908832818464823"/>
          <c:h val="0.57060390527408944"/>
        </c:manualLayout>
      </c:layout>
      <c:lineChart>
        <c:grouping val="standard"/>
        <c:varyColors val="0"/>
        <c:ser>
          <c:idx val="0"/>
          <c:order val="0"/>
          <c:tx>
            <c:strRef>
              <c:f>'Data. Securities'!$E$40</c:f>
              <c:strCache>
                <c:ptCount val="1"/>
                <c:pt idx="0">
                  <c:v>Benchmark
 Exces 
return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Securities'!$E$42:$E$100</c:f>
              <c:numCache>
                <c:formatCode>0.00%</c:formatCode>
                <c:ptCount val="59"/>
                <c:pt idx="0">
                  <c:v>1.2401266766019388E-3</c:v>
                </c:pt>
                <c:pt idx="1">
                  <c:v>4.9668074908588052E-3</c:v>
                </c:pt>
                <c:pt idx="2">
                  <c:v>1.761625942610905E-2</c:v>
                </c:pt>
                <c:pt idx="3">
                  <c:v>-4.6394721077350723E-2</c:v>
                </c:pt>
                <c:pt idx="4">
                  <c:v>4.981815452361886E-2</c:v>
                </c:pt>
                <c:pt idx="5">
                  <c:v>-2.71997317443738E-2</c:v>
                </c:pt>
                <c:pt idx="6">
                  <c:v>2.4063180404354668E-2</c:v>
                </c:pt>
                <c:pt idx="7">
                  <c:v>-4.9596733787105343E-2</c:v>
                </c:pt>
                <c:pt idx="8">
                  <c:v>-3.4728149450331827E-2</c:v>
                </c:pt>
                <c:pt idx="9">
                  <c:v>1.5286524315488426E-2</c:v>
                </c:pt>
                <c:pt idx="10">
                  <c:v>-8.480249047905393E-2</c:v>
                </c:pt>
                <c:pt idx="11">
                  <c:v>3.4463915839959627E-4</c:v>
                </c:pt>
                <c:pt idx="12">
                  <c:v>-9.366266008248321E-2</c:v>
                </c:pt>
                <c:pt idx="13">
                  <c:v>6.6562805459530347E-2</c:v>
                </c:pt>
                <c:pt idx="14">
                  <c:v>-4.776784123803153E-2</c:v>
                </c:pt>
                <c:pt idx="15">
                  <c:v>-9.8071449359720744E-2</c:v>
                </c:pt>
                <c:pt idx="16">
                  <c:v>5.9346669022227891E-2</c:v>
                </c:pt>
                <c:pt idx="17">
                  <c:v>7.9238537513591931E-2</c:v>
                </c:pt>
                <c:pt idx="18">
                  <c:v>-5.754308854689423E-2</c:v>
                </c:pt>
                <c:pt idx="19">
                  <c:v>7.0922125353440155E-2</c:v>
                </c:pt>
                <c:pt idx="20">
                  <c:v>-3.7330479452054768E-2</c:v>
                </c:pt>
                <c:pt idx="21">
                  <c:v>2.920077646792112E-2</c:v>
                </c:pt>
                <c:pt idx="22">
                  <c:v>1.1561704695041742E-2</c:v>
                </c:pt>
                <c:pt idx="23">
                  <c:v>-1.4601293336213361E-2</c:v>
                </c:pt>
                <c:pt idx="24">
                  <c:v>4.302627701375232E-2</c:v>
                </c:pt>
                <c:pt idx="25">
                  <c:v>3.1834974984365313E-2</c:v>
                </c:pt>
                <c:pt idx="26">
                  <c:v>-3.3202371969010949E-2</c:v>
                </c:pt>
                <c:pt idx="27">
                  <c:v>-4.6922927461139866E-2</c:v>
                </c:pt>
                <c:pt idx="28">
                  <c:v>-2.956616054996215E-2</c:v>
                </c:pt>
                <c:pt idx="29">
                  <c:v>8.4744140191068615E-2</c:v>
                </c:pt>
                <c:pt idx="30">
                  <c:v>3.4132498469700165E-2</c:v>
                </c:pt>
                <c:pt idx="31">
                  <c:v>-1.3736980446104712E-3</c:v>
                </c:pt>
                <c:pt idx="32">
                  <c:v>4.0950943165115314E-2</c:v>
                </c:pt>
                <c:pt idx="33">
                  <c:v>2.8505098452883116E-2</c:v>
                </c:pt>
                <c:pt idx="34">
                  <c:v>-3.9628495868518979E-2</c:v>
                </c:pt>
                <c:pt idx="35">
                  <c:v>4.1629095273959679E-2</c:v>
                </c:pt>
                <c:pt idx="36">
                  <c:v>7.7583273316529817E-3</c:v>
                </c:pt>
                <c:pt idx="37">
                  <c:v>1.1266459074733049E-2</c:v>
                </c:pt>
                <c:pt idx="38">
                  <c:v>2.084652370104283E-2</c:v>
                </c:pt>
                <c:pt idx="39">
                  <c:v>1.7844567447426952E-2</c:v>
                </c:pt>
                <c:pt idx="40">
                  <c:v>-2.5036752404851547E-2</c:v>
                </c:pt>
                <c:pt idx="41">
                  <c:v>3.6199647586501557E-2</c:v>
                </c:pt>
                <c:pt idx="42">
                  <c:v>-3.9191108236839869E-2</c:v>
                </c:pt>
                <c:pt idx="43">
                  <c:v>2.7279255319148921E-2</c:v>
                </c:pt>
                <c:pt idx="44">
                  <c:v>-7.0955421239376586E-3</c:v>
                </c:pt>
                <c:pt idx="45">
                  <c:v>-4.087084126458658E-2</c:v>
                </c:pt>
                <c:pt idx="46">
                  <c:v>1.030082051722548E-3</c:v>
                </c:pt>
                <c:pt idx="47">
                  <c:v>5.2802942559193086E-2</c:v>
                </c:pt>
                <c:pt idx="48">
                  <c:v>3.5907349373230854E-2</c:v>
                </c:pt>
                <c:pt idx="49">
                  <c:v>6.450427682737226E-3</c:v>
                </c:pt>
                <c:pt idx="50">
                  <c:v>2.2652469990766356E-2</c:v>
                </c:pt>
                <c:pt idx="51">
                  <c:v>3.1846223021582729E-2</c:v>
                </c:pt>
                <c:pt idx="52">
                  <c:v>1.8806134259259078E-2</c:v>
                </c:pt>
                <c:pt idx="53">
                  <c:v>-3.7007018598401269E-3</c:v>
                </c:pt>
                <c:pt idx="54">
                  <c:v>-3.9836272707994384E-3</c:v>
                </c:pt>
                <c:pt idx="55">
                  <c:v>2.4216225528305758E-2</c:v>
                </c:pt>
                <c:pt idx="56">
                  <c:v>8.7959621993127131E-3</c:v>
                </c:pt>
                <c:pt idx="57">
                  <c:v>-6.5259482290677087E-2</c:v>
                </c:pt>
                <c:pt idx="58">
                  <c:v>8.2888080870130817E-2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9C-C746-BC9D-8A3CDEEBFD1A}"/>
            </c:ext>
          </c:extLst>
        </c:ser>
        <c:ser>
          <c:idx val="1"/>
          <c:order val="1"/>
          <c:tx>
            <c:strRef>
              <c:f>'Data. Securities'!$AP$40</c:f>
              <c:strCache>
                <c:ptCount val="1"/>
                <c:pt idx="0">
                  <c:v>Active Pf Exces 
return 
(Back data)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'Data. Securities'!$B$42:$B$100</c:f>
              <c:numCache>
                <c:formatCode>m/d/yy</c:formatCode>
                <c:ptCount val="59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</c:numCache>
            </c:numRef>
          </c:cat>
          <c:val>
            <c:numRef>
              <c:f>'Data. Securities'!$AP$42:$AP$100</c:f>
              <c:numCache>
                <c:formatCode>0.00%</c:formatCode>
                <c:ptCount val="59"/>
                <c:pt idx="0">
                  <c:v>-3.2327242935549824E-2</c:v>
                </c:pt>
                <c:pt idx="1">
                  <c:v>2.8930216439107266E-2</c:v>
                </c:pt>
                <c:pt idx="2">
                  <c:v>6.1371958251044863E-2</c:v>
                </c:pt>
                <c:pt idx="3">
                  <c:v>-5.8459561887449454E-2</c:v>
                </c:pt>
                <c:pt idx="4">
                  <c:v>0.11375584003166035</c:v>
                </c:pt>
                <c:pt idx="5">
                  <c:v>-2.5036083004385274E-3</c:v>
                </c:pt>
                <c:pt idx="6">
                  <c:v>6.8804313253284427E-2</c:v>
                </c:pt>
                <c:pt idx="7">
                  <c:v>-0.11416721021690043</c:v>
                </c:pt>
                <c:pt idx="8">
                  <c:v>-4.9378913793010661E-3</c:v>
                </c:pt>
                <c:pt idx="9">
                  <c:v>4.3875958709580415E-2</c:v>
                </c:pt>
                <c:pt idx="10">
                  <c:v>-6.4588783510445794E-2</c:v>
                </c:pt>
                <c:pt idx="11">
                  <c:v>-7.4177553120254522E-3</c:v>
                </c:pt>
                <c:pt idx="12">
                  <c:v>-7.2707428345491237E-2</c:v>
                </c:pt>
                <c:pt idx="13">
                  <c:v>0.17217119309326068</c:v>
                </c:pt>
                <c:pt idx="14">
                  <c:v>-7.4986797690967583E-2</c:v>
                </c:pt>
                <c:pt idx="15">
                  <c:v>-4.9957618676094863E-2</c:v>
                </c:pt>
                <c:pt idx="16">
                  <c:v>0.10311523302748661</c:v>
                </c:pt>
                <c:pt idx="17">
                  <c:v>9.7624518159717635E-2</c:v>
                </c:pt>
                <c:pt idx="18">
                  <c:v>-6.9597994661386511E-2</c:v>
                </c:pt>
                <c:pt idx="19">
                  <c:v>7.5094116574507402E-2</c:v>
                </c:pt>
                <c:pt idx="20">
                  <c:v>7.3263355647721642E-2</c:v>
                </c:pt>
                <c:pt idx="21">
                  <c:v>-7.6340822663694997E-3</c:v>
                </c:pt>
                <c:pt idx="22">
                  <c:v>4.7945806409122309E-3</c:v>
                </c:pt>
                <c:pt idx="23">
                  <c:v>2.22435652010602E-2</c:v>
                </c:pt>
                <c:pt idx="24">
                  <c:v>0.1284493881231335</c:v>
                </c:pt>
                <c:pt idx="25">
                  <c:v>-1.7340657670918025E-2</c:v>
                </c:pt>
                <c:pt idx="26">
                  <c:v>1.5067852425070491E-2</c:v>
                </c:pt>
                <c:pt idx="27">
                  <c:v>-5.9482210430245236E-2</c:v>
                </c:pt>
                <c:pt idx="28">
                  <c:v>-6.5046249872893869E-2</c:v>
                </c:pt>
                <c:pt idx="29">
                  <c:v>0.1237934749877028</c:v>
                </c:pt>
                <c:pt idx="30">
                  <c:v>0.10209855850665392</c:v>
                </c:pt>
                <c:pt idx="31">
                  <c:v>-1.315162893853726E-2</c:v>
                </c:pt>
                <c:pt idx="32">
                  <c:v>0.14023321043118137</c:v>
                </c:pt>
                <c:pt idx="33">
                  <c:v>5.617424824047848E-2</c:v>
                </c:pt>
                <c:pt idx="34">
                  <c:v>-8.4571622907829158E-3</c:v>
                </c:pt>
                <c:pt idx="35">
                  <c:v>7.240864076430549E-2</c:v>
                </c:pt>
                <c:pt idx="36">
                  <c:v>-5.4112887774377366E-2</c:v>
                </c:pt>
                <c:pt idx="37">
                  <c:v>4.9005768629826994E-2</c:v>
                </c:pt>
                <c:pt idx="38">
                  <c:v>9.7204512336071646E-3</c:v>
                </c:pt>
                <c:pt idx="39">
                  <c:v>4.3981412565075199E-2</c:v>
                </c:pt>
                <c:pt idx="40">
                  <c:v>2.5295834425666294E-2</c:v>
                </c:pt>
                <c:pt idx="41">
                  <c:v>4.6199725777301907E-2</c:v>
                </c:pt>
                <c:pt idx="42">
                  <c:v>-7.6037369210621708E-2</c:v>
                </c:pt>
                <c:pt idx="43">
                  <c:v>-1.3973700518037443E-2</c:v>
                </c:pt>
                <c:pt idx="44">
                  <c:v>-6.7582662156930748E-2</c:v>
                </c:pt>
                <c:pt idx="45">
                  <c:v>-7.0401249382577261E-2</c:v>
                </c:pt>
                <c:pt idx="46">
                  <c:v>3.9217321397234377E-2</c:v>
                </c:pt>
                <c:pt idx="47">
                  <c:v>0.10415012183089101</c:v>
                </c:pt>
                <c:pt idx="48">
                  <c:v>7.0211246776349531E-2</c:v>
                </c:pt>
                <c:pt idx="49">
                  <c:v>4.7724323783099355E-2</c:v>
                </c:pt>
                <c:pt idx="50">
                  <c:v>1.050734466990633E-2</c:v>
                </c:pt>
                <c:pt idx="51">
                  <c:v>8.0307018945495398E-2</c:v>
                </c:pt>
                <c:pt idx="52">
                  <c:v>5.9533194786913504E-2</c:v>
                </c:pt>
                <c:pt idx="53">
                  <c:v>-3.3954096203287772E-2</c:v>
                </c:pt>
                <c:pt idx="54">
                  <c:v>-2.1350859868517161E-2</c:v>
                </c:pt>
                <c:pt idx="55">
                  <c:v>0.10238115808767495</c:v>
                </c:pt>
                <c:pt idx="56">
                  <c:v>5.2882965997325532E-2</c:v>
                </c:pt>
                <c:pt idx="57">
                  <c:v>-6.9653747625832235E-2</c:v>
                </c:pt>
                <c:pt idx="58">
                  <c:v>0.12688426982321321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9C-C746-BC9D-8A3CDEEBF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813183"/>
        <c:axId val="1549139888"/>
      </c:lineChart>
      <c:dateAx>
        <c:axId val="127813183"/>
        <c:scaling>
          <c:orientation val="minMax"/>
        </c:scaling>
        <c:delete val="0"/>
        <c:axPos val="b"/>
        <c:numFmt formatCode="m/d/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139888"/>
        <c:crosses val="autoZero"/>
        <c:auto val="1"/>
        <c:lblOffset val="100"/>
        <c:baseTimeUnit val="months"/>
      </c:dateAx>
      <c:valAx>
        <c:axId val="1549139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813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82539174517015"/>
          <c:y val="0.74198463280574634"/>
          <c:w val="0.34480221279694551"/>
          <c:h val="0.230126918062858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Hypothetical Growth of the</a:t>
            </a:r>
            <a:r>
              <a:rPr lang="en-US" b="1" baseline="0"/>
              <a:t> Prices</a:t>
            </a:r>
            <a:br>
              <a:rPr lang="en-US" b="1" baseline="0"/>
            </a:b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59 months Back Data Tracking (2019 -2024)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SPDR SPY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'Data. Securities'!$C$41:$C$100</c:f>
              <c:numCache>
                <c:formatCode>0.00</c:formatCode>
                <c:ptCount val="60"/>
                <c:pt idx="0">
                  <c:v>100.65</c:v>
                </c:pt>
                <c:pt idx="1">
                  <c:v>101.19</c:v>
                </c:pt>
                <c:pt idx="2">
                  <c:v>102.11</c:v>
                </c:pt>
                <c:pt idx="3">
                  <c:v>104.33</c:v>
                </c:pt>
                <c:pt idx="4">
                  <c:v>99.92</c:v>
                </c:pt>
                <c:pt idx="5">
                  <c:v>105.31</c:v>
                </c:pt>
                <c:pt idx="6">
                  <c:v>102.88</c:v>
                </c:pt>
                <c:pt idx="7">
                  <c:v>105.78</c:v>
                </c:pt>
                <c:pt idx="8">
                  <c:v>100.97</c:v>
                </c:pt>
                <c:pt idx="9">
                  <c:v>97.88</c:v>
                </c:pt>
                <c:pt idx="10">
                  <c:v>99.78</c:v>
                </c:pt>
                <c:pt idx="11">
                  <c:v>91.73</c:v>
                </c:pt>
                <c:pt idx="12">
                  <c:v>92.14</c:v>
                </c:pt>
                <c:pt idx="13">
                  <c:v>83.89</c:v>
                </c:pt>
                <c:pt idx="14">
                  <c:v>89.82</c:v>
                </c:pt>
                <c:pt idx="15">
                  <c:v>85.9</c:v>
                </c:pt>
                <c:pt idx="16">
                  <c:v>77.83</c:v>
                </c:pt>
                <c:pt idx="17">
                  <c:v>82.77</c:v>
                </c:pt>
                <c:pt idx="18">
                  <c:v>89.67</c:v>
                </c:pt>
                <c:pt idx="19">
                  <c:v>84.88</c:v>
                </c:pt>
                <c:pt idx="20">
                  <c:v>91.25</c:v>
                </c:pt>
                <c:pt idx="21">
                  <c:v>88.22</c:v>
                </c:pt>
                <c:pt idx="22">
                  <c:v>91.16</c:v>
                </c:pt>
                <c:pt idx="23">
                  <c:v>92.59</c:v>
                </c:pt>
                <c:pt idx="24">
                  <c:v>91.62</c:v>
                </c:pt>
                <c:pt idx="25">
                  <c:v>95.94</c:v>
                </c:pt>
                <c:pt idx="26">
                  <c:v>99.39</c:v>
                </c:pt>
                <c:pt idx="27">
                  <c:v>96.5</c:v>
                </c:pt>
                <c:pt idx="28">
                  <c:v>92.37</c:v>
                </c:pt>
                <c:pt idx="29">
                  <c:v>90.02</c:v>
                </c:pt>
                <c:pt idx="30">
                  <c:v>98.02</c:v>
                </c:pt>
                <c:pt idx="31">
                  <c:v>101.77</c:v>
                </c:pt>
                <c:pt idx="32">
                  <c:v>102.05</c:v>
                </c:pt>
                <c:pt idx="33">
                  <c:v>106.65</c:v>
                </c:pt>
                <c:pt idx="34">
                  <c:v>110.13</c:v>
                </c:pt>
                <c:pt idx="35">
                  <c:v>106.22</c:v>
                </c:pt>
                <c:pt idx="36">
                  <c:v>111.08</c:v>
                </c:pt>
                <c:pt idx="37">
                  <c:v>112.4</c:v>
                </c:pt>
                <c:pt idx="38">
                  <c:v>114.13</c:v>
                </c:pt>
                <c:pt idx="39">
                  <c:v>116.98</c:v>
                </c:pt>
                <c:pt idx="40">
                  <c:v>119.55</c:v>
                </c:pt>
                <c:pt idx="41">
                  <c:v>117.05</c:v>
                </c:pt>
                <c:pt idx="42">
                  <c:v>121.77</c:v>
                </c:pt>
                <c:pt idx="43">
                  <c:v>117.5</c:v>
                </c:pt>
                <c:pt idx="44">
                  <c:v>121.19</c:v>
                </c:pt>
                <c:pt idx="45">
                  <c:v>120.83</c:v>
                </c:pt>
                <c:pt idx="46">
                  <c:v>116.39</c:v>
                </c:pt>
                <c:pt idx="47">
                  <c:v>116.99</c:v>
                </c:pt>
                <c:pt idx="48">
                  <c:v>123.65</c:v>
                </c:pt>
                <c:pt idx="49">
                  <c:v>128.6</c:v>
                </c:pt>
                <c:pt idx="50">
                  <c:v>129.96</c:v>
                </c:pt>
                <c:pt idx="51">
                  <c:v>133.44</c:v>
                </c:pt>
                <c:pt idx="52">
                  <c:v>138.24</c:v>
                </c:pt>
                <c:pt idx="53">
                  <c:v>141.41</c:v>
                </c:pt>
                <c:pt idx="54">
                  <c:v>141.47</c:v>
                </c:pt>
                <c:pt idx="55">
                  <c:v>141.49</c:v>
                </c:pt>
                <c:pt idx="56">
                  <c:v>145.5</c:v>
                </c:pt>
                <c:pt idx="57">
                  <c:v>147.38</c:v>
                </c:pt>
                <c:pt idx="58">
                  <c:v>138.37</c:v>
                </c:pt>
                <c:pt idx="59">
                  <c:v>150.41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F-A246-92F7-49584B407F2D}"/>
            </c:ext>
          </c:extLst>
        </c:ser>
        <c:ser>
          <c:idx val="1"/>
          <c:order val="1"/>
          <c:tx>
            <c:v>Active Pf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'Data. Securities'!$AO$41:$AO$100</c:f>
              <c:numCache>
                <c:formatCode>0.00</c:formatCode>
                <c:ptCount val="60"/>
                <c:pt idx="0">
                  <c:v>100.65</c:v>
                </c:pt>
                <c:pt idx="1">
                  <c:v>97.396262998536926</c:v>
                </c:pt>
                <c:pt idx="2">
                  <c:v>100.21395796744481</c:v>
                </c:pt>
                <c:pt idx="3">
                  <c:v>106.36428481199479</c:v>
                </c:pt>
                <c:pt idx="4">
                  <c:v>100.14627532141368</c:v>
                </c:pt>
                <c:pt idx="5">
                  <c:v>111.53849899664303</c:v>
                </c:pt>
                <c:pt idx="6">
                  <c:v>111.25925028473658</c:v>
                </c:pt>
                <c:pt idx="7">
                  <c:v>118.91436659365318</c:v>
                </c:pt>
                <c:pt idx="8">
                  <c:v>105.33824510494601</c:v>
                </c:pt>
                <c:pt idx="9">
                  <c:v>104.81809629253159</c:v>
                </c:pt>
                <c:pt idx="10">
                  <c:v>109.41709075747954</c:v>
                </c:pt>
                <c:pt idx="11">
                  <c:v>102.34997397020189</c:v>
                </c:pt>
                <c:pt idx="12">
                  <c:v>101.59076690709875</c:v>
                </c:pt>
                <c:pt idx="13">
                  <c:v>94.20436350163736</c:v>
                </c:pt>
                <c:pt idx="14">
                  <c:v>110.42364116030548</c:v>
                </c:pt>
                <c:pt idx="15">
                  <c:v>102.14332592031765</c:v>
                </c:pt>
                <c:pt idx="16">
                  <c:v>97.040488593682355</c:v>
                </c:pt>
                <c:pt idx="17">
                  <c:v>107.04684118812108</c:v>
                </c:pt>
                <c:pt idx="18">
                  <c:v>117.49723747963122</c:v>
                </c:pt>
                <c:pt idx="19">
                  <c:v>109.31966537279619</c:v>
                </c:pt>
                <c:pt idx="20">
                  <c:v>117.52892906818708</c:v>
                </c:pt>
                <c:pt idx="21">
                  <c:v>126.13949279740551</c:v>
                </c:pt>
                <c:pt idx="22">
                  <c:v>125.176533532352</c:v>
                </c:pt>
                <c:pt idx="23">
                  <c:v>125.77670251672271</c:v>
                </c:pt>
                <c:pt idx="24">
                  <c:v>128.57442479992778</c:v>
                </c:pt>
                <c:pt idx="25">
                  <c:v>145.08973099376234</c:v>
                </c:pt>
                <c:pt idx="26">
                  <c:v>142.57377963703391</c:v>
                </c:pt>
                <c:pt idx="27">
                  <c:v>144.72206030828926</c:v>
                </c:pt>
                <c:pt idx="28">
                  <c:v>136.11367226313294</c:v>
                </c:pt>
                <c:pt idx="29">
                  <c:v>127.25998832598802</c:v>
                </c:pt>
                <c:pt idx="30">
                  <c:v>143.01394450775658</c:v>
                </c:pt>
                <c:pt idx="31">
                  <c:v>157.61546208834912</c:v>
                </c:pt>
                <c:pt idx="32">
                  <c:v>155.54256201598707</c:v>
                </c:pt>
                <c:pt idx="33">
                  <c:v>177.35479484618008</c:v>
                </c:pt>
                <c:pt idx="34">
                  <c:v>187.31756711850855</c:v>
                </c:pt>
                <c:pt idx="35">
                  <c:v>185.7333920534727</c:v>
                </c:pt>
                <c:pt idx="36">
                  <c:v>199.18209451660852</c:v>
                </c:pt>
                <c:pt idx="37">
                  <c:v>188.40377618936586</c:v>
                </c:pt>
                <c:pt idx="38">
                  <c:v>197.63664805428763</c:v>
                </c:pt>
                <c:pt idx="39">
                  <c:v>199.55776545367291</c:v>
                </c:pt>
                <c:pt idx="40">
                  <c:v>208.33459786665543</c:v>
                </c:pt>
                <c:pt idx="41">
                  <c:v>213.60459535942809</c:v>
                </c:pt>
                <c:pt idx="42">
                  <c:v>223.47306908980519</c:v>
                </c:pt>
                <c:pt idx="43">
                  <c:v>206.48076482679289</c:v>
                </c:pt>
                <c:pt idx="44">
                  <c:v>203.59546445636795</c:v>
                </c:pt>
                <c:pt idx="45">
                  <c:v>189.83594096532983</c:v>
                </c:pt>
                <c:pt idx="46">
                  <c:v>176.4712535436534</c:v>
                </c:pt>
                <c:pt idx="47">
                  <c:v>183.39198341124771</c:v>
                </c:pt>
                <c:pt idx="48">
                  <c:v>202.49228082633789</c:v>
                </c:pt>
                <c:pt idx="49">
                  <c:v>216.70951632574179</c:v>
                </c:pt>
                <c:pt idx="50">
                  <c:v>227.05183144975032</c:v>
                </c:pt>
                <c:pt idx="51">
                  <c:v>229.43754330072636</c:v>
                </c:pt>
                <c:pt idx="52">
                  <c:v>247.8629884373857</c:v>
                </c:pt>
                <c:pt idx="53">
                  <c:v>262.61906400849506</c:v>
                </c:pt>
                <c:pt idx="54">
                  <c:v>253.70207104433322</c:v>
                </c:pt>
                <c:pt idx="55">
                  <c:v>248.28531367711309</c:v>
                </c:pt>
                <c:pt idx="56">
                  <c:v>273.70505162753761</c:v>
                </c:pt>
                <c:pt idx="57">
                  <c:v>288.17938656605293</c:v>
                </c:pt>
                <c:pt idx="58">
                  <c:v>268.10661230321392</c:v>
                </c:pt>
                <c:pt idx="59">
                  <c:v>302.12512404008248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F-A246-92F7-49584B407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204911"/>
        <c:axId val="940085008"/>
      </c:lineChart>
      <c:catAx>
        <c:axId val="12042049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085008"/>
        <c:crosses val="autoZero"/>
        <c:auto val="1"/>
        <c:lblAlgn val="ctr"/>
        <c:lblOffset val="100"/>
        <c:noMultiLvlLbl val="0"/>
      </c:catAx>
      <c:valAx>
        <c:axId val="94008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204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Aptos Narrow"/>
              </a:rPr>
              <a:t>Active Portfolio Weights — 7 Stocks (Treynor-Black)</a:t>
            </a:r>
          </a:p>
        </c:rich>
      </c:tx>
      <c:overlay val="0"/>
      <c:spPr>
        <a:noFill/>
        <a:ln w="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'[3]S4 — ACWI Strategy'!$B$68</c:f>
              <c:strCache>
                <c:ptCount val="1"/>
                <c:pt idx="0">
                  <c:v>Active Weight %</c:v>
                </c:pt>
              </c:strCache>
            </c:strRef>
          </c:tx>
          <c:spPr>
            <a:solidFill>
              <a:srgbClr val="2E5596"/>
            </a:solidFill>
            <a:ln w="12600">
              <a:solidFill>
                <a:srgbClr val="FFFFFF"/>
              </a:solidFill>
              <a:prstDash val="solid"/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'[3]S4 — ACWI Strategy'!$A$69:$A$75</c:f>
              <c:strCache>
                <c:ptCount val="7"/>
                <c:pt idx="0">
                  <c:v>SBGSY</c:v>
                </c:pt>
                <c:pt idx="1">
                  <c:v>MLI</c:v>
                </c:pt>
                <c:pt idx="2">
                  <c:v>NVT</c:v>
                </c:pt>
                <c:pt idx="3">
                  <c:v>ETN</c:v>
                </c:pt>
                <c:pt idx="4">
                  <c:v>PWR</c:v>
                </c:pt>
                <c:pt idx="5">
                  <c:v>HUBB</c:v>
                </c:pt>
                <c:pt idx="6">
                  <c:v>AEP</c:v>
                </c:pt>
              </c:strCache>
            </c:strRef>
          </c:cat>
          <c:val>
            <c:numRef>
              <c:f>'[3]S4 — ACWI Strategy'!$B$69:$B$75</c:f>
              <c:numCache>
                <c:formatCode>General</c:formatCode>
                <c:ptCount val="7"/>
                <c:pt idx="0">
                  <c:v>23.39</c:v>
                </c:pt>
                <c:pt idx="1">
                  <c:v>21.08</c:v>
                </c:pt>
                <c:pt idx="2">
                  <c:v>17.75</c:v>
                </c:pt>
                <c:pt idx="3">
                  <c:v>14.57</c:v>
                </c:pt>
                <c:pt idx="4">
                  <c:v>13.99</c:v>
                </c:pt>
                <c:pt idx="5">
                  <c:v>7.33</c:v>
                </c:pt>
                <c:pt idx="6">
                  <c:v>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6-3147-BD82-AE06C3940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12369"/>
        <c:axId val="1987689"/>
      </c:barChart>
      <c:catAx>
        <c:axId val="4621236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1987689"/>
        <c:crosses val="autoZero"/>
        <c:auto val="1"/>
        <c:lblAlgn val="ctr"/>
        <c:lblOffset val="100"/>
        <c:noMultiLvlLbl val="0"/>
      </c:catAx>
      <c:valAx>
        <c:axId val="1987689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Aptos Narrow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Aptos Narrow"/>
                  </a:rPr>
                  <a:t>Weight (%)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46212369"/>
        <c:crosses val="autoZero"/>
        <c:crossBetween val="between"/>
      </c:valAx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Aptos Narrow"/>
              </a:rPr>
              <a:t>1-Year Consensus Target Returns (HUBB Negative!)</a:t>
            </a:r>
          </a:p>
        </c:rich>
      </c:tx>
      <c:overlay val="0"/>
      <c:spPr>
        <a:noFill/>
        <a:ln w="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'[3]S6 — Valuation'!$B$18</c:f>
              <c:strCache>
                <c:ptCount val="1"/>
                <c:pt idx="0">
                  <c:v>Target Return %</c:v>
                </c:pt>
              </c:strCache>
            </c:strRef>
          </c:tx>
          <c:spPr>
            <a:solidFill>
              <a:srgbClr val="1A6B3A"/>
            </a:solidFill>
            <a:ln w="12600">
              <a:solidFill>
                <a:srgbClr val="FFFFFF"/>
              </a:solidFill>
              <a:prstDash val="solid"/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'[3]S6 — Valuation'!$A$19:$A$25</c:f>
              <c:strCache>
                <c:ptCount val="7"/>
                <c:pt idx="0">
                  <c:v>PWR</c:v>
                </c:pt>
                <c:pt idx="1">
                  <c:v>ETN</c:v>
                </c:pt>
                <c:pt idx="2">
                  <c:v>AEP</c:v>
                </c:pt>
                <c:pt idx="3">
                  <c:v>SBGSY</c:v>
                </c:pt>
                <c:pt idx="4">
                  <c:v>NVT</c:v>
                </c:pt>
                <c:pt idx="5">
                  <c:v>HUBB</c:v>
                </c:pt>
                <c:pt idx="6">
                  <c:v>MLI</c:v>
                </c:pt>
              </c:strCache>
            </c:strRef>
          </c:cat>
          <c:val>
            <c:numRef>
              <c:f>'[3]S6 — Valuation'!$B$19:$B$25</c:f>
              <c:numCache>
                <c:formatCode>General</c:formatCode>
                <c:ptCount val="7"/>
                <c:pt idx="0">
                  <c:v>1.36</c:v>
                </c:pt>
                <c:pt idx="1">
                  <c:v>2.44</c:v>
                </c:pt>
                <c:pt idx="2">
                  <c:v>4.04</c:v>
                </c:pt>
                <c:pt idx="3">
                  <c:v>4.75</c:v>
                </c:pt>
                <c:pt idx="4">
                  <c:v>12.89</c:v>
                </c:pt>
                <c:pt idx="5">
                  <c:v>-15.46</c:v>
                </c:pt>
                <c:pt idx="6">
                  <c:v>20.76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0-AD4A-B698-0193E91F8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61513"/>
        <c:axId val="44072925"/>
      </c:barChart>
      <c:catAx>
        <c:axId val="3506151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44072925"/>
        <c:crosses val="autoZero"/>
        <c:auto val="1"/>
        <c:lblAlgn val="ctr"/>
        <c:lblOffset val="100"/>
        <c:noMultiLvlLbl val="0"/>
      </c:catAx>
      <c:valAx>
        <c:axId val="44072925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Aptos Narrow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Aptos Narrow"/>
                  </a:rPr>
                  <a:t>Target Return (%)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35061513"/>
        <c:crosses val="autoZero"/>
        <c:crossBetween val="between"/>
      </c:valAx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3.xml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chart" Target="../charts/chart2.xml"/><Relationship Id="rId5" Type="http://schemas.openxmlformats.org/officeDocument/2006/relationships/image" Target="../media/image4.emf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7" Type="http://schemas.openxmlformats.org/officeDocument/2006/relationships/chart" Target="../charts/chart5.xml"/><Relationship Id="rId16" Type="http://schemas.openxmlformats.org/officeDocument/2006/relationships/chart" Target="../charts/chart4.xml"/><Relationship Id="rId1" Type="http://schemas.openxmlformats.org/officeDocument/2006/relationships/customXml" Target="../ink/ink1.xml"/><Relationship Id="rId15" Type="http://schemas.openxmlformats.org/officeDocument/2006/relationships/image" Target="../media/image23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chart" Target="../charts/chart10.xml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474256</xdr:colOff>
      <xdr:row>9</xdr:row>
      <xdr:rowOff>94359</xdr:rowOff>
    </xdr:from>
    <xdr:to>
      <xdr:col>5</xdr:col>
      <xdr:colOff>704496</xdr:colOff>
      <xdr:row>11</xdr:row>
      <xdr:rowOff>198594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215802A-C0F4-9B4E-853F-C2CB4F1F7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2389" y="2075559"/>
          <a:ext cx="1209350" cy="510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88900</xdr:rowOff>
    </xdr:from>
    <xdr:to>
      <xdr:col>6</xdr:col>
      <xdr:colOff>667236</xdr:colOff>
      <xdr:row>72</xdr:row>
      <xdr:rowOff>157921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064C36E-ACFD-97D7-4DFC-2DD55B33E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75500"/>
          <a:ext cx="6760817" cy="7790621"/>
        </a:xfrm>
        <a:prstGeom prst="rect">
          <a:avLst/>
        </a:prstGeom>
      </xdr:spPr>
    </xdr:pic>
    <xdr:clientData/>
  </xdr:twoCellAnchor>
  <xdr:twoCellAnchor editAs="oneCell">
    <xdr:from>
      <xdr:col>6</xdr:col>
      <xdr:colOff>524268</xdr:colOff>
      <xdr:row>34</xdr:row>
      <xdr:rowOff>119949</xdr:rowOff>
    </xdr:from>
    <xdr:to>
      <xdr:col>14</xdr:col>
      <xdr:colOff>37803</xdr:colOff>
      <xdr:row>72</xdr:row>
      <xdr:rowOff>39204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9A1CC46-B58D-3C4B-ECEF-77C75794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9601" y="7215016"/>
          <a:ext cx="6845669" cy="7640855"/>
        </a:xfrm>
        <a:prstGeom prst="rect">
          <a:avLst/>
        </a:prstGeom>
      </xdr:spPr>
    </xdr:pic>
    <xdr:clientData/>
  </xdr:twoCellAnchor>
  <xdr:twoCellAnchor>
    <xdr:from>
      <xdr:col>6</xdr:col>
      <xdr:colOff>138546</xdr:colOff>
      <xdr:row>9</xdr:row>
      <xdr:rowOff>11546</xdr:rowOff>
    </xdr:from>
    <xdr:to>
      <xdr:col>10</xdr:col>
      <xdr:colOff>258841</xdr:colOff>
      <xdr:row>20</xdr:row>
      <xdr:rowOff>204998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A9445C-1360-C157-7896-E6545AA110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88900</xdr:colOff>
      <xdr:row>19</xdr:row>
      <xdr:rowOff>50800</xdr:rowOff>
    </xdr:from>
    <xdr:to>
      <xdr:col>4</xdr:col>
      <xdr:colOff>447393</xdr:colOff>
      <xdr:row>20</xdr:row>
      <xdr:rowOff>161007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AB8B74-02B3-554E-B598-1F965802A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7500" y="4089400"/>
          <a:ext cx="4105597" cy="326107"/>
        </a:xfrm>
        <a:prstGeom prst="rect">
          <a:avLst/>
        </a:prstGeom>
      </xdr:spPr>
    </xdr:pic>
    <xdr:clientData/>
  </xdr:twoCellAnchor>
  <xdr:twoCellAnchor>
    <xdr:from>
      <xdr:col>6</xdr:col>
      <xdr:colOff>139700</xdr:colOff>
      <xdr:row>21</xdr:row>
      <xdr:rowOff>80818</xdr:rowOff>
    </xdr:from>
    <xdr:to>
      <xdr:col>10</xdr:col>
      <xdr:colOff>266701</xdr:colOff>
      <xdr:row>33</xdr:row>
      <xdr:rowOff>12700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F70E061-ACF1-AF9A-173E-A8F940752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336550</xdr:colOff>
      <xdr:row>9</xdr:row>
      <xdr:rowOff>23091</xdr:rowOff>
    </xdr:from>
    <xdr:to>
      <xdr:col>15</xdr:col>
      <xdr:colOff>646546</xdr:colOff>
      <xdr:row>33</xdr:row>
      <xdr:rowOff>50800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E9945C1-AF7B-B6DC-3750-37CA3095FC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269723</xdr:colOff>
      <xdr:row>30</xdr:row>
      <xdr:rowOff>193523</xdr:rowOff>
    </xdr:from>
    <xdr:to>
      <xdr:col>7</xdr:col>
      <xdr:colOff>125790</xdr:colOff>
      <xdr:row>32</xdr:row>
      <xdr:rowOff>32658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6B0339E-4E3B-1444-A453-718EEFAA1CEA}"/>
            </a:ext>
          </a:extLst>
        </xdr:cNvPr>
        <xdr:cNvSpPr/>
      </xdr:nvSpPr>
      <xdr:spPr bwMode="auto">
        <a:xfrm>
          <a:off x="7407123" y="9464523"/>
          <a:ext cx="2726267" cy="2455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</xdr:col>
      <xdr:colOff>966291</xdr:colOff>
      <xdr:row>34</xdr:row>
      <xdr:rowOff>184137</xdr:rowOff>
    </xdr:from>
    <xdr:to>
      <xdr:col>3</xdr:col>
      <xdr:colOff>966651</xdr:colOff>
      <xdr:row>34</xdr:row>
      <xdr:rowOff>187377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05F1D512-692C-D347-94B6-EB3BFAA742E8}"/>
                </a:ext>
              </a:extLst>
            </xdr14:cNvPr>
            <xdr14:cNvContentPartPr/>
          </xdr14:nvContentPartPr>
          <xdr14:nvPr macro=""/>
          <xdr14:xfrm>
            <a:off x="4628880" y="8711280"/>
            <a:ext cx="360" cy="3240"/>
          </xdr14:xfrm>
        </xdr:contentPart>
      </mc:Choice>
      <mc:Fallback xmlns=""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4A699F80-900F-BFD6-CBC5-E8D9A133FD9D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4620240" y="8702640"/>
              <a:ext cx="1800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385680</xdr:colOff>
      <xdr:row>27</xdr:row>
      <xdr:rowOff>26827</xdr:rowOff>
    </xdr:from>
    <xdr:to>
      <xdr:col>5</xdr:col>
      <xdr:colOff>1899920</xdr:colOff>
      <xdr:row>37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60F30D-89CD-FFCA-59A3-B3D44A23F4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1693</xdr:colOff>
      <xdr:row>5</xdr:row>
      <xdr:rowOff>25401</xdr:rowOff>
    </xdr:from>
    <xdr:to>
      <xdr:col>12</xdr:col>
      <xdr:colOff>12211</xdr:colOff>
      <xdr:row>22</xdr:row>
      <xdr:rowOff>183065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ADDF9CB-843C-3D4D-AC17-3F658F667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270055</xdr:colOff>
      <xdr:row>55</xdr:row>
      <xdr:rowOff>34504</xdr:rowOff>
    </xdr:from>
    <xdr:to>
      <xdr:col>7</xdr:col>
      <xdr:colOff>201302</xdr:colOff>
      <xdr:row>57</xdr:row>
      <xdr:rowOff>215816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3B0C4EE-E423-5442-B412-20A32DBFF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1755" y="10042104"/>
          <a:ext cx="2039447" cy="651212"/>
        </a:xfrm>
        <a:prstGeom prst="rect">
          <a:avLst/>
        </a:prstGeom>
      </xdr:spPr>
    </xdr:pic>
    <xdr:clientData/>
  </xdr:twoCellAnchor>
  <xdr:twoCellAnchor>
    <xdr:from>
      <xdr:col>5</xdr:col>
      <xdr:colOff>98754</xdr:colOff>
      <xdr:row>62</xdr:row>
      <xdr:rowOff>127000</xdr:rowOff>
    </xdr:from>
    <xdr:to>
      <xdr:col>9</xdr:col>
      <xdr:colOff>1019504</xdr:colOff>
      <xdr:row>77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B18529-F806-CA12-860B-F919F1A77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682236</xdr:colOff>
      <xdr:row>0</xdr:row>
      <xdr:rowOff>294618</xdr:rowOff>
    </xdr:from>
    <xdr:to>
      <xdr:col>20</xdr:col>
      <xdr:colOff>183066</xdr:colOff>
      <xdr:row>2</xdr:row>
      <xdr:rowOff>87284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CBE2D4-980F-CA49-86D4-0765AD341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0872" y="294618"/>
          <a:ext cx="5562194" cy="600848"/>
        </a:xfrm>
        <a:prstGeom prst="rect">
          <a:avLst/>
        </a:prstGeom>
      </xdr:spPr>
    </xdr:pic>
    <xdr:clientData/>
  </xdr:twoCellAnchor>
  <xdr:twoCellAnchor editAs="oneCell">
    <xdr:from>
      <xdr:col>20</xdr:col>
      <xdr:colOff>347617</xdr:colOff>
      <xdr:row>1</xdr:row>
      <xdr:rowOff>53587</xdr:rowOff>
    </xdr:from>
    <xdr:to>
      <xdr:col>24</xdr:col>
      <xdr:colOff>765712</xdr:colOff>
      <xdr:row>2</xdr:row>
      <xdr:rowOff>33398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341784-C396-6E48-9B6C-6EDAD816A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18093" y="250135"/>
          <a:ext cx="4470000" cy="403144"/>
        </a:xfrm>
        <a:prstGeom prst="rect">
          <a:avLst/>
        </a:prstGeom>
      </xdr:spPr>
    </xdr:pic>
    <xdr:clientData/>
  </xdr:twoCellAnchor>
  <xdr:twoCellAnchor>
    <xdr:from>
      <xdr:col>27</xdr:col>
      <xdr:colOff>431387</xdr:colOff>
      <xdr:row>16</xdr:row>
      <xdr:rowOff>119648</xdr:rowOff>
    </xdr:from>
    <xdr:to>
      <xdr:col>40</xdr:col>
      <xdr:colOff>0</xdr:colOff>
      <xdr:row>36</xdr:row>
      <xdr:rowOff>223813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7952893-9C6D-C2BA-A425-23BD1AAAF8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454016</xdr:colOff>
      <xdr:row>0</xdr:row>
      <xdr:rowOff>329698</xdr:rowOff>
    </xdr:from>
    <xdr:to>
      <xdr:col>35</xdr:col>
      <xdr:colOff>784778</xdr:colOff>
      <xdr:row>16</xdr:row>
      <xdr:rowOff>21548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CD28905-FA1F-8E8E-C3D5-59AE92E12A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</xdr:col>
      <xdr:colOff>939800</xdr:colOff>
      <xdr:row>0</xdr:row>
      <xdr:rowOff>266698</xdr:rowOff>
    </xdr:from>
    <xdr:to>
      <xdr:col>40</xdr:col>
      <xdr:colOff>0</xdr:colOff>
      <xdr:row>15</xdr:row>
      <xdr:rowOff>171378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2167ED6-7A12-E54C-7B35-8ADD4B90F3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131789</xdr:colOff>
      <xdr:row>13</xdr:row>
      <xdr:rowOff>24811</xdr:rowOff>
    </xdr:from>
    <xdr:to>
      <xdr:col>5</xdr:col>
      <xdr:colOff>228600</xdr:colOff>
      <xdr:row>15</xdr:row>
      <xdr:rowOff>121554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56ED7C-9133-4D43-BCAC-26A304460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2789" y="2691811"/>
          <a:ext cx="1138211" cy="503143"/>
        </a:xfrm>
        <a:prstGeom prst="rect">
          <a:avLst/>
        </a:prstGeom>
      </xdr:spPr>
    </xdr:pic>
    <xdr:clientData/>
  </xdr:twoCellAnchor>
  <xdr:twoCellAnchor editAs="oneCell">
    <xdr:from>
      <xdr:col>4</xdr:col>
      <xdr:colOff>143137</xdr:colOff>
      <xdr:row>16</xdr:row>
      <xdr:rowOff>65325</xdr:rowOff>
    </xdr:from>
    <xdr:to>
      <xdr:col>6</xdr:col>
      <xdr:colOff>586404</xdr:colOff>
      <xdr:row>18</xdr:row>
      <xdr:rowOff>30607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57DF00-1609-D44A-90E1-D1F6EA363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4137" y="3341925"/>
          <a:ext cx="2310167" cy="371682"/>
        </a:xfrm>
        <a:prstGeom prst="rect">
          <a:avLst/>
        </a:prstGeom>
      </xdr:spPr>
    </xdr:pic>
    <xdr:clientData/>
  </xdr:twoCellAnchor>
  <xdr:twoCellAnchor editAs="oneCell">
    <xdr:from>
      <xdr:col>0</xdr:col>
      <xdr:colOff>51806</xdr:colOff>
      <xdr:row>18</xdr:row>
      <xdr:rowOff>198081</xdr:rowOff>
    </xdr:from>
    <xdr:to>
      <xdr:col>3</xdr:col>
      <xdr:colOff>474950</xdr:colOff>
      <xdr:row>33</xdr:row>
      <xdr:rowOff>0</xdr:rowOff>
    </xdr:to>
    <xdr:pic>
      <xdr:nvPicPr>
        <xdr:cNvPr id="4" name="Picture 3" descr="Graph presents duration approximation as a straight, downward-sloping line, while actual price change is a downward-bowed curve.">
          <a:extLst>
            <a:ext uri="{FF2B5EF4-FFF2-40B4-BE49-F238E27FC236}">
              <a16:creationId xmlns:a16="http://schemas.microsoft.com/office/drawing/2014/main" id="{54A15BD9-401B-394B-94AF-5DDB64EC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06" y="3881081"/>
          <a:ext cx="4398244" cy="2849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67</xdr:row>
      <xdr:rowOff>0</xdr:rowOff>
    </xdr:from>
    <xdr:to>
      <xdr:col>7</xdr:col>
      <xdr:colOff>476400</xdr:colOff>
      <xdr:row>89</xdr:row>
      <xdr:rowOff>26920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5484C0-B8D2-BA47-81A5-B8FDA9FDC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63500</xdr:colOff>
      <xdr:row>47</xdr:row>
      <xdr:rowOff>88900</xdr:rowOff>
    </xdr:from>
    <xdr:to>
      <xdr:col>1</xdr:col>
      <xdr:colOff>1665340</xdr:colOff>
      <xdr:row>65</xdr:row>
      <xdr:rowOff>75420</xdr:rowOff>
    </xdr:to>
    <xdr:pic>
      <xdr:nvPicPr>
        <xdr:cNvPr id="3" name="Image 3" descr="Picture">
          <a:extLst>
            <a:ext uri="{FF2B5EF4-FFF2-40B4-BE49-F238E27FC236}">
              <a16:creationId xmlns:a16="http://schemas.microsoft.com/office/drawing/2014/main" id="{CCE1BC38-DA78-1A41-9EF1-37CED2B391A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" y="13233400"/>
          <a:ext cx="4624440" cy="36441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571500</xdr:colOff>
      <xdr:row>94</xdr:row>
      <xdr:rowOff>152400</xdr:rowOff>
    </xdr:from>
    <xdr:to>
      <xdr:col>2</xdr:col>
      <xdr:colOff>1552580</xdr:colOff>
      <xdr:row>109</xdr:row>
      <xdr:rowOff>138920</xdr:rowOff>
    </xdr:to>
    <xdr:pic>
      <xdr:nvPicPr>
        <xdr:cNvPr id="4" name="Image 4" descr="Picture">
          <a:extLst>
            <a:ext uri="{FF2B5EF4-FFF2-40B4-BE49-F238E27FC236}">
              <a16:creationId xmlns:a16="http://schemas.microsoft.com/office/drawing/2014/main" id="{A76A689D-D6F3-C444-BFA5-7E200EEAB2EB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22885400"/>
          <a:ext cx="6365880" cy="30345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152400</xdr:colOff>
      <xdr:row>150</xdr:row>
      <xdr:rowOff>50800</xdr:rowOff>
    </xdr:from>
    <xdr:to>
      <xdr:col>2</xdr:col>
      <xdr:colOff>774700</xdr:colOff>
      <xdr:row>165</xdr:row>
      <xdr:rowOff>165100</xdr:rowOff>
    </xdr:to>
    <xdr:pic>
      <xdr:nvPicPr>
        <xdr:cNvPr id="5" name="Image 5" descr="Picture">
          <a:extLst>
            <a:ext uri="{FF2B5EF4-FFF2-40B4-BE49-F238E27FC236}">
              <a16:creationId xmlns:a16="http://schemas.microsoft.com/office/drawing/2014/main" id="{19235CD5-E3A8-194F-BDC6-F7E0D0CECBE1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" y="34378900"/>
          <a:ext cx="5829300" cy="316230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50800</xdr:colOff>
      <xdr:row>117</xdr:row>
      <xdr:rowOff>114300</xdr:rowOff>
    </xdr:from>
    <xdr:to>
      <xdr:col>2</xdr:col>
      <xdr:colOff>844550</xdr:colOff>
      <xdr:row>135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791FC5-6050-F943-AAC8-AFC45EA4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0800" y="27584400"/>
          <a:ext cx="6000750" cy="3600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137</xdr:row>
      <xdr:rowOff>114300</xdr:rowOff>
    </xdr:from>
    <xdr:to>
      <xdr:col>2</xdr:col>
      <xdr:colOff>1397834</xdr:colOff>
      <xdr:row>148</xdr:row>
      <xdr:rowOff>50800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0D1DF69-4593-7D46-AC9D-ED5FC429C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5400" y="31724600"/>
          <a:ext cx="6757234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88900</xdr:rowOff>
    </xdr:from>
    <xdr:to>
      <xdr:col>2</xdr:col>
      <xdr:colOff>1193800</xdr:colOff>
      <xdr:row>203</xdr:row>
      <xdr:rowOff>165100</xdr:rowOff>
    </xdr:to>
    <xdr:pic>
      <xdr:nvPicPr>
        <xdr:cNvPr id="8" name="chartL_pvalues">
          <a:extLst>
            <a:ext uri="{FF2B5EF4-FFF2-40B4-BE49-F238E27FC236}">
              <a16:creationId xmlns:a16="http://schemas.microsoft.com/office/drawing/2014/main" id="{2CEAC0E4-5935-5C45-BE56-40D021B342DA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3789600"/>
          <a:ext cx="6400800" cy="2514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3</xdr:col>
      <xdr:colOff>110040</xdr:colOff>
      <xdr:row>35</xdr:row>
      <xdr:rowOff>94320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950DF7-6257-A54E-A610-A0DCDB496EB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45000"/>
          <a:ext cx="4986840" cy="33455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3</xdr:col>
      <xdr:colOff>110040</xdr:colOff>
      <xdr:row>64</xdr:row>
      <xdr:rowOff>94680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3845FFC-E7CF-7D4B-ACA4-8D89A25515A2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791700"/>
          <a:ext cx="4986840" cy="39554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7</xdr:col>
      <xdr:colOff>546100</xdr:colOff>
      <xdr:row>36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9AFB56-1FEA-CD41-9D36-4E2EA7913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52</xdr:row>
      <xdr:rowOff>0</xdr:rowOff>
    </xdr:from>
    <xdr:to>
      <xdr:col>4</xdr:col>
      <xdr:colOff>6400</xdr:colOff>
      <xdr:row>68</xdr:row>
      <xdr:rowOff>94320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5A684C-4060-1248-A3DF-5EECC8DED77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357100"/>
          <a:ext cx="5899200" cy="33455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2</xdr:col>
      <xdr:colOff>1217120</xdr:colOff>
      <xdr:row>53</xdr:row>
      <xdr:rowOff>190080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1AC410-72AF-C64A-84C0-5D3FC891B0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2928600"/>
          <a:ext cx="6449520" cy="30348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aulbumchanahn/Desktop/HULT/HULT%20Professor%20PG/PG%202023%20Spring_Investment%20/2023%20Spring_Investments_Excel_Application_Ch16.%20Holding%20Period%20Immunization.xls" TargetMode="External"/><Relationship Id="rId2" Type="http://schemas.openxmlformats.org/officeDocument/2006/relationships/externalLinkPath" Target="/Users/paulbumchanahn/Desktop/HULT/HULT%20Professor%20PG/PG%202023%20Spring_Investment%20/2023%20Spring_Investments_Excel_Application_Ch16.%20Holding%20Period%20Immunization.xls" TargetMode="External"/><Relationship Id="rId1" Type="http://schemas.openxmlformats.org/officeDocument/2006/relationships/externalLinkPath" Target="/Users/paulbumchanahn/Desktop/HULT/HULT%20Professor%20PG/PG%202023%20Spring_Investment%20/2023%20Spring_Investments_Excel_Application_Ch16.%20Holding%20Period%20Immunization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Paulahn/Desktop/Accounting%20TA/Performance%20Management/C:/Users/John/Accounting%20HULT%20My%20Files/accounting%20hult%20team%20files/Managerial%20Accounting/Chapter%202/C-V-P%20Graph%20for%20Class%204.xlsx" TargetMode="External"/><Relationship Id="rId1" Type="http://schemas.openxmlformats.org/officeDocument/2006/relationships/externalLinkPath" Target="/Users/Paulahn/Desktop/Accounting%20TA/Performance%20Management/C:\Users\John\Accounting%20HULT%20My%20Files\accounting%20hult%20team%20files\Managerial%20Accounting\Chapter%202\C-V-P%20Graph%20for%20Class%204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CWI_IPS_Complete.xlsx" TargetMode="External"/><Relationship Id="rId2" Type="http://schemas.openxmlformats.org/officeDocument/2006/relationships/externalLinkPath" Target="/Users/opdime/Desktop/ACWI_IPS_Complete.xlsx" TargetMode="External"/><Relationship Id="rId1" Type="http://schemas.openxmlformats.org/officeDocument/2006/relationships/externalLinkPath" Target="/Users/opdime/Desktop/ACWI_IPS_Comp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uration Concept"/>
      <sheetName val="Duration Function"/>
      <sheetName val="Convexity (2)"/>
      <sheetName val="Convexity"/>
      <sheetName val="Immunization"/>
      <sheetName val="Book Model"/>
      <sheetName val="OLC Model"/>
    </sheetNames>
    <sheetDataSet>
      <sheetData sheetId="0" refreshError="1"/>
      <sheetData sheetId="1" refreshError="1"/>
      <sheetData sheetId="2" refreshError="1"/>
      <sheetData sheetId="3">
        <row r="7">
          <cell r="C7">
            <v>8</v>
          </cell>
        </row>
        <row r="8">
          <cell r="C8">
            <v>0.08</v>
          </cell>
        </row>
        <row r="9">
          <cell r="C9">
            <v>30</v>
          </cell>
        </row>
        <row r="10">
          <cell r="C10">
            <v>100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Case"/>
      <sheetName val="FCFF vs. FCF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ital Allocation"/>
      <sheetName val="Asset Classes Allocation"/>
      <sheetName val="Security Allocation"/>
      <sheetName val="Data. Securities"/>
      <sheetName val="Data. Bond Duration &amp; Convexity"/>
      <sheetName val="S4 — ACWI Strategy"/>
      <sheetName val="S5 — Risk Management"/>
      <sheetName val="S6 — Valuation"/>
      <sheetName val="S7 — Monitoring Bridge"/>
      <sheetName val="S8 — P-Valu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8">
          <cell r="B68" t="str">
            <v>Active Weight %</v>
          </cell>
        </row>
        <row r="69">
          <cell r="A69" t="str">
            <v>SBGSY</v>
          </cell>
          <cell r="B69">
            <v>23.39</v>
          </cell>
        </row>
        <row r="70">
          <cell r="A70" t="str">
            <v>MLI</v>
          </cell>
          <cell r="B70">
            <v>21.08</v>
          </cell>
        </row>
        <row r="71">
          <cell r="A71" t="str">
            <v>NVT</v>
          </cell>
          <cell r="B71">
            <v>17.75</v>
          </cell>
        </row>
        <row r="72">
          <cell r="A72" t="str">
            <v>ETN</v>
          </cell>
          <cell r="B72">
            <v>14.57</v>
          </cell>
        </row>
        <row r="73">
          <cell r="A73" t="str">
            <v>PWR</v>
          </cell>
          <cell r="B73">
            <v>13.99</v>
          </cell>
        </row>
        <row r="74">
          <cell r="A74" t="str">
            <v>HUBB</v>
          </cell>
          <cell r="B74">
            <v>7.33</v>
          </cell>
        </row>
        <row r="75">
          <cell r="A75" t="str">
            <v>AEP</v>
          </cell>
          <cell r="B75">
            <v>1.89</v>
          </cell>
        </row>
      </sheetData>
      <sheetData sheetId="6" refreshError="1"/>
      <sheetData sheetId="7">
        <row r="18">
          <cell r="B18" t="str">
            <v>Target Return %</v>
          </cell>
        </row>
        <row r="19">
          <cell r="A19" t="str">
            <v>PWR</v>
          </cell>
          <cell r="B19">
            <v>1.36</v>
          </cell>
        </row>
        <row r="20">
          <cell r="A20" t="str">
            <v>ETN</v>
          </cell>
          <cell r="B20">
            <v>2.44</v>
          </cell>
        </row>
        <row r="21">
          <cell r="A21" t="str">
            <v>AEP</v>
          </cell>
          <cell r="B21">
            <v>4.04</v>
          </cell>
        </row>
        <row r="22">
          <cell r="A22" t="str">
            <v>SBGSY</v>
          </cell>
          <cell r="B22">
            <v>4.75</v>
          </cell>
        </row>
        <row r="23">
          <cell r="A23" t="str">
            <v>NVT</v>
          </cell>
          <cell r="B23">
            <v>12.89</v>
          </cell>
        </row>
        <row r="24">
          <cell r="A24" t="str">
            <v>HUBB</v>
          </cell>
          <cell r="B24">
            <v>-15.46</v>
          </cell>
        </row>
        <row r="25">
          <cell r="A25" t="str">
            <v>MLI</v>
          </cell>
          <cell r="B25">
            <v>20.76</v>
          </cell>
        </row>
      </sheetData>
      <sheetData sheetId="8" refreshError="1"/>
      <sheetData sheetId="9" refreshError="1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3-23T18:43:07.3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21733,'0'4'0,"0"-1"0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E913-5181-C441-BCD3-088691783E99}">
  <sheetPr>
    <pageSetUpPr fitToPage="1"/>
  </sheetPr>
  <dimension ref="A2:F47"/>
  <sheetViews>
    <sheetView showGridLines="0" tabSelected="1" topLeftCell="A7" zoomScaleNormal="143" workbookViewId="0">
      <selection activeCell="D17" sqref="D17"/>
    </sheetView>
  </sheetViews>
  <sheetFormatPr baseColWidth="10" defaultRowHeight="16"/>
  <cols>
    <col min="1" max="1" width="3" style="96" customWidth="1"/>
    <col min="2" max="2" width="16.83203125" style="96" customWidth="1"/>
    <col min="3" max="3" width="19.5" style="96" customWidth="1"/>
    <col min="4" max="5" width="12.83203125" style="96" customWidth="1"/>
    <col min="6" max="6" width="14.83203125" style="96" customWidth="1"/>
    <col min="7" max="7" width="14.1640625" style="96" customWidth="1"/>
    <col min="8" max="8" width="10.83203125" style="96"/>
    <col min="9" max="9" width="14" style="96" customWidth="1"/>
    <col min="10" max="10" width="13.5" style="96" customWidth="1"/>
    <col min="11" max="16384" width="10.83203125" style="96"/>
  </cols>
  <sheetData>
    <row r="2" spans="1:5" ht="25">
      <c r="B2" s="162" t="s">
        <v>208</v>
      </c>
      <c r="C2" s="162"/>
    </row>
    <row r="3" spans="1:5" ht="18">
      <c r="B3" s="98" t="s">
        <v>55</v>
      </c>
      <c r="C3" s="98"/>
    </row>
    <row r="5" spans="1:5">
      <c r="B5" s="142" t="s">
        <v>77</v>
      </c>
      <c r="C5" s="142"/>
      <c r="D5" s="172"/>
    </row>
    <row r="6" spans="1:5">
      <c r="B6" s="112" t="s">
        <v>78</v>
      </c>
      <c r="C6" s="112"/>
      <c r="D6" s="127">
        <v>4.9500000000000002E-2</v>
      </c>
    </row>
    <row r="7" spans="1:5">
      <c r="B7" s="112" t="s">
        <v>79</v>
      </c>
      <c r="C7" s="112"/>
      <c r="D7" s="127">
        <f>'Asset Classes Allocation'!D26</f>
        <v>0.29475541275672851</v>
      </c>
    </row>
    <row r="8" spans="1:5">
      <c r="B8" s="112" t="s">
        <v>80</v>
      </c>
      <c r="C8" s="112"/>
      <c r="D8" s="127">
        <f>'Asset Classes Allocation'!E26</f>
        <v>0.22120530249763062</v>
      </c>
    </row>
    <row r="10" spans="1:5">
      <c r="A10" s="126"/>
      <c r="B10" s="170" t="s">
        <v>81</v>
      </c>
      <c r="C10" s="170"/>
      <c r="D10" s="171"/>
    </row>
    <row r="11" spans="1:5">
      <c r="B11" s="112" t="s">
        <v>82</v>
      </c>
      <c r="C11" s="112"/>
      <c r="D11" s="133">
        <f>(D7-D6)/(D17*D8^2)</f>
        <v>0.55691001140326313</v>
      </c>
      <c r="E11" s="114"/>
    </row>
    <row r="12" spans="1:5">
      <c r="B12" s="122" t="s">
        <v>83</v>
      </c>
      <c r="C12" s="122"/>
      <c r="D12" s="184">
        <f>1-D11</f>
        <v>0.44308998859673687</v>
      </c>
    </row>
    <row r="13" spans="1:5">
      <c r="B13" s="112" t="s">
        <v>73</v>
      </c>
      <c r="C13" s="112"/>
      <c r="D13" s="127">
        <f>D11*D7+D12*D6</f>
        <v>0.18608519471506169</v>
      </c>
    </row>
    <row r="14" spans="1:5">
      <c r="B14" s="112" t="s">
        <v>74</v>
      </c>
      <c r="C14" s="112"/>
      <c r="D14" s="127">
        <f>D11*D8</f>
        <v>0.12319144753641774</v>
      </c>
    </row>
    <row r="15" spans="1:5">
      <c r="B15" s="122" t="s">
        <v>140</v>
      </c>
      <c r="C15" s="122"/>
      <c r="D15" s="163">
        <f>(D7-D6)/D8</f>
        <v>1.1087230278277598</v>
      </c>
    </row>
    <row r="16" spans="1:5" ht="19" customHeight="1">
      <c r="B16" s="96" t="s">
        <v>88</v>
      </c>
      <c r="D16" s="210">
        <v>55</v>
      </c>
    </row>
    <row r="17" spans="2:6">
      <c r="B17" s="96" t="s">
        <v>91</v>
      </c>
      <c r="D17" s="284">
        <f>20*(1-D16/100)</f>
        <v>9</v>
      </c>
      <c r="F17" s="146"/>
    </row>
    <row r="18" spans="2:6">
      <c r="B18" s="122" t="s">
        <v>89</v>
      </c>
      <c r="C18" s="122"/>
      <c r="D18" s="147">
        <f>D13-1/2*D17*D14^2</f>
        <v>0.11779259735753085</v>
      </c>
    </row>
    <row r="19" spans="2:6">
      <c r="B19" s="148" t="s">
        <v>188</v>
      </c>
      <c r="C19" s="148"/>
      <c r="D19" s="112"/>
    </row>
    <row r="20" spans="2:6" ht="17" thickBot="1"/>
    <row r="21" spans="2:6" ht="17" thickBot="1">
      <c r="F21" s="169">
        <v>9.7283827509474757E-2</v>
      </c>
    </row>
    <row r="22" spans="2:6">
      <c r="B22" s="101" t="s">
        <v>137</v>
      </c>
      <c r="C22" s="101" t="s">
        <v>134</v>
      </c>
      <c r="D22" s="101" t="s">
        <v>135</v>
      </c>
      <c r="E22" s="101" t="s">
        <v>138</v>
      </c>
      <c r="F22" s="101" t="s">
        <v>136</v>
      </c>
    </row>
    <row r="23" spans="2:6">
      <c r="B23" s="100" t="s">
        <v>139</v>
      </c>
      <c r="C23" s="164">
        <f>D13</f>
        <v>0.18608519471506169</v>
      </c>
      <c r="D23" s="164">
        <f>D14</f>
        <v>0.12319144753641774</v>
      </c>
      <c r="E23" s="164">
        <f>D18</f>
        <v>0.11779259735753085</v>
      </c>
      <c r="F23" s="164">
        <f t="shared" ref="F23:F33" si="0">$F$21+1/2*$D$17*D23^2</f>
        <v>0.16557642486700558</v>
      </c>
    </row>
    <row r="24" spans="2:6">
      <c r="B24" s="165">
        <v>0.1</v>
      </c>
      <c r="C24" s="166">
        <f t="dataTable" ref="C24:E33" dt2D="0" dtr="0" r1="D11"/>
        <v>7.402554127567286E-2</v>
      </c>
      <c r="D24" s="166">
        <v>2.2120530249763064E-2</v>
      </c>
      <c r="E24" s="166">
        <v>7.1823610912284785E-2</v>
      </c>
      <c r="F24" s="167">
        <f t="shared" si="0"/>
        <v>9.9485757872862832E-2</v>
      </c>
    </row>
    <row r="25" spans="2:6">
      <c r="B25" s="165">
        <v>0.2</v>
      </c>
      <c r="C25" s="166">
        <v>9.8551082551345703E-2</v>
      </c>
      <c r="D25" s="166">
        <v>4.4241060499526128E-2</v>
      </c>
      <c r="E25" s="166">
        <v>8.974336109779342E-2</v>
      </c>
      <c r="F25" s="167">
        <f t="shared" si="0"/>
        <v>0.10609154896302704</v>
      </c>
    </row>
    <row r="26" spans="2:6">
      <c r="B26" s="165">
        <v>0.3</v>
      </c>
      <c r="C26" s="166">
        <v>0.12307662382701855</v>
      </c>
      <c r="D26" s="166">
        <v>6.6361590749289184E-2</v>
      </c>
      <c r="E26" s="166">
        <v>0.10325925055652591</v>
      </c>
      <c r="F26" s="167">
        <f t="shared" si="0"/>
        <v>0.1171012007799674</v>
      </c>
    </row>
    <row r="27" spans="2:6">
      <c r="B27" s="165">
        <v>0.4</v>
      </c>
      <c r="C27" s="166">
        <v>0.14760216510269142</v>
      </c>
      <c r="D27" s="166">
        <v>8.8482120999052255E-2</v>
      </c>
      <c r="E27" s="166">
        <v>0.11237127928848226</v>
      </c>
      <c r="F27" s="167">
        <f t="shared" si="0"/>
        <v>0.13251471332368392</v>
      </c>
    </row>
    <row r="28" spans="2:6">
      <c r="B28" s="165">
        <v>0.5</v>
      </c>
      <c r="C28" s="166">
        <v>0.17212770637836425</v>
      </c>
      <c r="D28" s="166">
        <v>0.11060265124881531</v>
      </c>
      <c r="E28" s="166">
        <v>0.11707944729366244</v>
      </c>
      <c r="F28" s="167">
        <f t="shared" si="0"/>
        <v>0.15233208659417657</v>
      </c>
    </row>
    <row r="29" spans="2:6">
      <c r="B29" s="233">
        <v>0.6</v>
      </c>
      <c r="C29" s="234">
        <v>0.19665324765403711</v>
      </c>
      <c r="D29" s="234">
        <v>0.13272318149857837</v>
      </c>
      <c r="E29" s="234">
        <v>0.11738375457206653</v>
      </c>
      <c r="F29" s="167">
        <f t="shared" si="0"/>
        <v>0.17655332059144535</v>
      </c>
    </row>
    <row r="30" spans="2:6">
      <c r="B30" s="233">
        <v>0.7</v>
      </c>
      <c r="C30" s="234">
        <v>0.22117878892970994</v>
      </c>
      <c r="D30" s="234">
        <v>0.15484371174834144</v>
      </c>
      <c r="E30" s="234">
        <v>0.11328420112369439</v>
      </c>
      <c r="F30" s="167">
        <f t="shared" si="0"/>
        <v>0.2051784153154903</v>
      </c>
    </row>
    <row r="31" spans="2:6">
      <c r="B31" s="233">
        <v>0.8</v>
      </c>
      <c r="C31" s="234">
        <v>0.24570433020538282</v>
      </c>
      <c r="D31" s="234">
        <v>0.17696424199810451</v>
      </c>
      <c r="E31" s="234">
        <v>0.1047807869485462</v>
      </c>
      <c r="F31" s="167">
        <f t="shared" si="0"/>
        <v>0.23820737076631138</v>
      </c>
    </row>
    <row r="32" spans="2:6">
      <c r="B32" s="165">
        <v>0.9</v>
      </c>
      <c r="C32" s="166">
        <v>0.27022987148105565</v>
      </c>
      <c r="D32" s="166">
        <v>0.19908477224786755</v>
      </c>
      <c r="E32" s="166">
        <v>9.1873512046621808E-2</v>
      </c>
      <c r="F32" s="167">
        <f t="shared" si="0"/>
        <v>0.27564018694390857</v>
      </c>
    </row>
    <row r="33" spans="2:6">
      <c r="B33" s="168">
        <v>1</v>
      </c>
      <c r="C33" s="166">
        <v>0.29475541275672851</v>
      </c>
      <c r="D33" s="166">
        <v>0.22120530249763062</v>
      </c>
      <c r="E33" s="166">
        <v>7.4562376417921294E-2</v>
      </c>
      <c r="F33" s="167">
        <f t="shared" si="0"/>
        <v>0.317476863848282</v>
      </c>
    </row>
    <row r="34" spans="2:6">
      <c r="B34" s="100"/>
      <c r="C34" s="100"/>
      <c r="E34" s="112"/>
    </row>
    <row r="35" spans="2:6">
      <c r="B35" s="100"/>
      <c r="C35" s="100"/>
      <c r="E35" s="112"/>
    </row>
    <row r="36" spans="2:6">
      <c r="B36" s="100"/>
      <c r="C36" s="100"/>
      <c r="E36" s="112"/>
    </row>
    <row r="37" spans="2:6">
      <c r="B37" s="100"/>
      <c r="C37" s="100"/>
      <c r="E37" s="112"/>
    </row>
    <row r="38" spans="2:6">
      <c r="B38" s="100"/>
      <c r="C38" s="100"/>
      <c r="E38" s="112"/>
    </row>
    <row r="39" spans="2:6">
      <c r="B39" s="100"/>
      <c r="C39" s="100"/>
      <c r="E39" s="112"/>
    </row>
    <row r="40" spans="2:6">
      <c r="B40" s="100"/>
      <c r="C40" s="100"/>
      <c r="E40" s="112"/>
    </row>
    <row r="41" spans="2:6">
      <c r="B41" s="100"/>
      <c r="C41" s="100"/>
      <c r="E41" s="112"/>
    </row>
    <row r="42" spans="2:6">
      <c r="B42" s="100"/>
      <c r="C42" s="100"/>
      <c r="E42" s="112"/>
    </row>
    <row r="43" spans="2:6">
      <c r="B43" s="108"/>
      <c r="C43" s="108"/>
      <c r="E43" s="112"/>
    </row>
    <row r="44" spans="2:6">
      <c r="E44" s="112"/>
    </row>
    <row r="45" spans="2:6">
      <c r="E45" s="112"/>
    </row>
    <row r="46" spans="2:6">
      <c r="E46" s="112"/>
    </row>
    <row r="47" spans="2:6">
      <c r="E47" s="112"/>
    </row>
  </sheetData>
  <pageMargins left="0.25" right="0.25" top="0.75" bottom="0.75" header="0.3" footer="0.3"/>
  <pageSetup scale="53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0FDF-70B1-9E43-B59B-762D687F23F5}">
  <sheetPr>
    <pageSetUpPr fitToPage="1"/>
  </sheetPr>
  <dimension ref="A2:L37"/>
  <sheetViews>
    <sheetView showGridLines="0" topLeftCell="A18" zoomScale="125" workbookViewId="0">
      <selection activeCell="J26" sqref="J26"/>
    </sheetView>
  </sheetViews>
  <sheetFormatPr baseColWidth="10" defaultColWidth="8.83203125" defaultRowHeight="16"/>
  <cols>
    <col min="1" max="1" width="2.33203125" style="96" customWidth="1"/>
    <col min="2" max="2" width="21.5" style="96" customWidth="1"/>
    <col min="3" max="3" width="26.5" style="96" customWidth="1"/>
    <col min="4" max="6" width="25" style="96" customWidth="1"/>
    <col min="7" max="7" width="3" style="96" customWidth="1"/>
    <col min="8" max="8" width="14.33203125" style="96" customWidth="1"/>
    <col min="9" max="16384" width="8.83203125" style="96"/>
  </cols>
  <sheetData>
    <row r="2" spans="2:12" ht="30">
      <c r="B2" s="95" t="s">
        <v>54</v>
      </c>
    </row>
    <row r="3" spans="2:12" ht="20">
      <c r="B3" s="97" t="s">
        <v>55</v>
      </c>
    </row>
    <row r="4" spans="2:12">
      <c r="C4" s="99"/>
      <c r="D4" s="99"/>
      <c r="E4" s="99"/>
      <c r="F4" s="100"/>
    </row>
    <row r="5" spans="2:12">
      <c r="B5" s="142" t="s">
        <v>56</v>
      </c>
      <c r="C5" s="101" t="s">
        <v>57</v>
      </c>
      <c r="D5" s="101" t="s">
        <v>24</v>
      </c>
      <c r="E5" s="101" t="s">
        <v>58</v>
      </c>
      <c r="F5" s="101" t="s">
        <v>59</v>
      </c>
      <c r="H5" s="109" t="s">
        <v>145</v>
      </c>
      <c r="I5" s="183"/>
      <c r="J5" s="183"/>
      <c r="K5" s="183"/>
      <c r="L5" s="183"/>
    </row>
    <row r="6" spans="2:12">
      <c r="B6" s="143" t="s">
        <v>85</v>
      </c>
      <c r="C6" s="127">
        <f>'Data. Bond Duration &amp; Convexity'!C16</f>
        <v>0.15449548437414534</v>
      </c>
      <c r="D6" s="127">
        <f>'Data. Securities'!N8</f>
        <v>0.14724104274769068</v>
      </c>
      <c r="E6" s="296">
        <f>CORREL('Data. Securities'!AP42:AP100,'Data. Securities'!AS42:AS100)</f>
        <v>0.43659125161837614</v>
      </c>
      <c r="F6" s="296">
        <f>$D$6*$D$7*$E$6</f>
        <v>1.4219995099348494E-2</v>
      </c>
    </row>
    <row r="7" spans="2:12">
      <c r="B7" s="143" t="s">
        <v>84</v>
      </c>
      <c r="C7" s="127">
        <f>'Security Allocation'!C64+C8</f>
        <v>0.29475541275672851</v>
      </c>
      <c r="D7" s="127">
        <f>'Security Allocation'!C65</f>
        <v>0.22120530249763062</v>
      </c>
      <c r="E7" s="297"/>
      <c r="F7" s="297"/>
    </row>
    <row r="8" spans="2:12">
      <c r="B8" s="143" t="s">
        <v>60</v>
      </c>
      <c r="C8" s="127">
        <v>4.9500000000000002E-2</v>
      </c>
      <c r="D8" s="127">
        <v>0</v>
      </c>
      <c r="E8" s="102"/>
    </row>
    <row r="9" spans="2:12">
      <c r="B9" s="103"/>
      <c r="C9" s="104"/>
      <c r="D9" s="104"/>
      <c r="E9" s="104"/>
      <c r="F9" s="105"/>
    </row>
    <row r="10" spans="2:12">
      <c r="B10" s="294" t="s">
        <v>61</v>
      </c>
      <c r="C10" s="295"/>
      <c r="D10" s="106"/>
      <c r="E10" s="106"/>
      <c r="F10" s="106" t="s">
        <v>62</v>
      </c>
    </row>
    <row r="11" spans="2:12">
      <c r="B11" s="101" t="s">
        <v>63</v>
      </c>
      <c r="C11" s="107" t="s">
        <v>64</v>
      </c>
      <c r="D11" s="101" t="s">
        <v>57</v>
      </c>
      <c r="E11" s="101" t="s">
        <v>24</v>
      </c>
      <c r="F11" s="101" t="s">
        <v>65</v>
      </c>
    </row>
    <row r="12" spans="2:12">
      <c r="B12" s="168">
        <v>1</v>
      </c>
      <c r="C12" s="173">
        <v>0</v>
      </c>
      <c r="D12" s="128">
        <f>$C$6*$B12+$C$7*$C12</f>
        <v>0.15449548437414534</v>
      </c>
      <c r="E12" s="128">
        <f>($B12^2*$D$6^2+$C12^2*$D$7^2+2*$B12*$C12*$F$6)^0.5</f>
        <v>0.14724104274769068</v>
      </c>
      <c r="F12" s="128">
        <f>(D12-$C$8)/E12</f>
        <v>0.71308571587654068</v>
      </c>
    </row>
    <row r="13" spans="2:12">
      <c r="B13" s="168">
        <v>0.9</v>
      </c>
      <c r="C13" s="173">
        <v>0.1</v>
      </c>
      <c r="D13" s="128">
        <f t="shared" ref="D13:D22" si="0">$C$6*$B13+$C$7*$C13</f>
        <v>0.16852147721240368</v>
      </c>
      <c r="E13" s="128">
        <f t="shared" ref="E13:E22" si="1">($B13^2*$D$6^2+$C13^2*$D$7^2+2*$B13*$C13*$F$6)^0.5</f>
        <v>0.14356063512902661</v>
      </c>
      <c r="F13" s="128">
        <f t="shared" ref="F13:F22" si="2">(D13-$C$8)/E13</f>
        <v>0.82906764173501946</v>
      </c>
    </row>
    <row r="14" spans="2:12">
      <c r="B14" s="168">
        <v>0.8</v>
      </c>
      <c r="C14" s="173">
        <v>0.2</v>
      </c>
      <c r="D14" s="128">
        <f t="shared" si="0"/>
        <v>0.18254747005066199</v>
      </c>
      <c r="E14" s="128">
        <f t="shared" si="1"/>
        <v>0.14276841966747306</v>
      </c>
      <c r="F14" s="128">
        <f t="shared" si="2"/>
        <v>0.9319110652099919</v>
      </c>
    </row>
    <row r="15" spans="2:12">
      <c r="B15" s="168">
        <v>0.7</v>
      </c>
      <c r="C15" s="173">
        <v>0.3</v>
      </c>
      <c r="D15" s="128">
        <f t="shared" si="0"/>
        <v>0.19657346288892028</v>
      </c>
      <c r="E15" s="128">
        <f t="shared" si="1"/>
        <v>0.14491177231861418</v>
      </c>
      <c r="F15" s="128">
        <f t="shared" si="2"/>
        <v>1.0149172875034143</v>
      </c>
    </row>
    <row r="16" spans="2:12">
      <c r="B16" s="168">
        <v>0.6</v>
      </c>
      <c r="C16" s="173">
        <v>0.4</v>
      </c>
      <c r="D16" s="128">
        <f t="shared" si="0"/>
        <v>0.21059945572717861</v>
      </c>
      <c r="E16" s="128">
        <f t="shared" si="1"/>
        <v>0.14986479328105057</v>
      </c>
      <c r="F16" s="128">
        <f t="shared" si="2"/>
        <v>1.0749653217421051</v>
      </c>
    </row>
    <row r="17" spans="1:7">
      <c r="B17" s="168">
        <v>0.5</v>
      </c>
      <c r="C17" s="173">
        <v>0.5</v>
      </c>
      <c r="D17" s="128">
        <f t="shared" si="0"/>
        <v>0.22462544856543692</v>
      </c>
      <c r="E17" s="128">
        <f t="shared" si="1"/>
        <v>0.1573624007833451</v>
      </c>
      <c r="F17" s="128">
        <f t="shared" si="2"/>
        <v>1.1128798727883404</v>
      </c>
    </row>
    <row r="18" spans="1:7">
      <c r="B18" s="168">
        <v>0.4</v>
      </c>
      <c r="C18" s="173">
        <v>0.6</v>
      </c>
      <c r="D18" s="128">
        <f t="shared" si="0"/>
        <v>0.23865144140369524</v>
      </c>
      <c r="E18" s="128">
        <f t="shared" si="1"/>
        <v>0.16706234914516263</v>
      </c>
      <c r="F18" s="128">
        <f t="shared" si="2"/>
        <v>1.1322206491861257</v>
      </c>
    </row>
    <row r="19" spans="1:7">
      <c r="B19" s="168">
        <v>0.3</v>
      </c>
      <c r="C19" s="173">
        <v>0.7</v>
      </c>
      <c r="D19" s="128">
        <f t="shared" si="0"/>
        <v>0.25267743424195355</v>
      </c>
      <c r="E19" s="128">
        <f t="shared" si="1"/>
        <v>0.17860617634891091</v>
      </c>
      <c r="F19" s="128">
        <f t="shared" si="2"/>
        <v>1.1375722743486887</v>
      </c>
    </row>
    <row r="20" spans="1:7">
      <c r="B20" s="168">
        <v>0.2</v>
      </c>
      <c r="C20" s="173">
        <v>0.8</v>
      </c>
      <c r="D20" s="128">
        <f t="shared" si="0"/>
        <v>0.26670342708021189</v>
      </c>
      <c r="E20" s="128">
        <f t="shared" si="1"/>
        <v>0.19166099854830224</v>
      </c>
      <c r="F20" s="128">
        <f t="shared" si="2"/>
        <v>1.1332687856443182</v>
      </c>
    </row>
    <row r="21" spans="1:7">
      <c r="B21" s="168">
        <v>0.1</v>
      </c>
      <c r="C21" s="173">
        <v>0.9</v>
      </c>
      <c r="D21" s="128">
        <f t="shared" si="0"/>
        <v>0.28072941991847017</v>
      </c>
      <c r="E21" s="128">
        <f t="shared" si="1"/>
        <v>0.20593966326466182</v>
      </c>
      <c r="F21" s="128">
        <f t="shared" si="2"/>
        <v>1.1228017772434027</v>
      </c>
    </row>
    <row r="22" spans="1:7">
      <c r="B22" s="174">
        <v>0</v>
      </c>
      <c r="C22" s="175">
        <v>1</v>
      </c>
      <c r="D22" s="176">
        <f t="shared" si="0"/>
        <v>0.29475541275672851</v>
      </c>
      <c r="E22" s="177">
        <f t="shared" si="1"/>
        <v>0.22120530249763062</v>
      </c>
      <c r="F22" s="177">
        <f t="shared" si="2"/>
        <v>1.1087230278277598</v>
      </c>
    </row>
    <row r="23" spans="1:7">
      <c r="B23" s="109" t="s">
        <v>141</v>
      </c>
      <c r="C23" s="110"/>
      <c r="D23" s="101" t="s">
        <v>57</v>
      </c>
      <c r="E23" s="101" t="s">
        <v>105</v>
      </c>
      <c r="F23" s="117" t="s">
        <v>25</v>
      </c>
    </row>
    <row r="24" spans="1:7">
      <c r="A24" s="99"/>
      <c r="B24" s="129">
        <v>1</v>
      </c>
      <c r="C24" s="130">
        <f>1-$B$24</f>
        <v>0</v>
      </c>
      <c r="D24" s="128">
        <f>$C$6*$B24+$C$7*$C24</f>
        <v>0.15449548437414534</v>
      </c>
      <c r="E24" s="140">
        <f>((($B$24^2)*($D$6^2))+(($C$24^2)*($D$7^2))+(2*$B$24*$C$24*$F$6))^0.5</f>
        <v>0.14724104274769068</v>
      </c>
      <c r="F24" s="128">
        <f>(D24-$C$8)/E24</f>
        <v>0.71308571587654068</v>
      </c>
      <c r="G24" s="111" t="s">
        <v>66</v>
      </c>
    </row>
    <row r="25" spans="1:7">
      <c r="A25" s="114"/>
      <c r="B25" s="115" t="s">
        <v>67</v>
      </c>
      <c r="C25" s="116"/>
      <c r="D25" s="101" t="s">
        <v>57</v>
      </c>
      <c r="E25" s="101" t="s">
        <v>24</v>
      </c>
      <c r="F25" s="117" t="s">
        <v>68</v>
      </c>
      <c r="G25" s="112"/>
    </row>
    <row r="26" spans="1:7">
      <c r="A26" s="114"/>
      <c r="B26" s="131">
        <v>0</v>
      </c>
      <c r="C26" s="132">
        <v>1</v>
      </c>
      <c r="D26" s="128">
        <f>$C$6*$B26+$C$7*$C26</f>
        <v>0.29475541275672851</v>
      </c>
      <c r="E26" s="128">
        <f>((($B$26^2)*($D$6^2))+(($C$26^2)*($D$7^2))+(2*$B$26*$C$26*$F$6))^0.5</f>
        <v>0.22120530249763062</v>
      </c>
      <c r="F26" s="140">
        <f>(D26-$C$8)/E26</f>
        <v>1.1087230278277598</v>
      </c>
      <c r="G26" s="111" t="s">
        <v>66</v>
      </c>
    </row>
    <row r="27" spans="1:7">
      <c r="A27" s="114"/>
      <c r="B27" s="118"/>
      <c r="C27" s="119"/>
      <c r="D27" s="112"/>
      <c r="E27" s="113"/>
      <c r="F27" s="120"/>
    </row>
    <row r="28" spans="1:7">
      <c r="B28" s="115" t="s">
        <v>90</v>
      </c>
      <c r="C28" s="115"/>
      <c r="D28" s="101"/>
    </row>
    <row r="29" spans="1:7">
      <c r="B29" s="112" t="s">
        <v>69</v>
      </c>
      <c r="D29" s="121">
        <f>(D26-C8)/('Capital Allocation'!D17*E26^2)</f>
        <v>0.55691001140326313</v>
      </c>
    </row>
    <row r="30" spans="1:7">
      <c r="B30" s="122" t="s">
        <v>70</v>
      </c>
      <c r="C30" s="104"/>
      <c r="D30" s="123">
        <f>1-D29</f>
        <v>0.44308998859673687</v>
      </c>
    </row>
    <row r="31" spans="1:7">
      <c r="B31" s="112" t="s">
        <v>71</v>
      </c>
      <c r="D31" s="124">
        <f>D29*B26</f>
        <v>0</v>
      </c>
    </row>
    <row r="32" spans="1:7">
      <c r="B32" s="122" t="s">
        <v>72</v>
      </c>
      <c r="C32" s="104"/>
      <c r="D32" s="125">
        <f>D29*C26</f>
        <v>0.55691001140326313</v>
      </c>
    </row>
    <row r="33" spans="2:4">
      <c r="B33" s="112" t="s">
        <v>106</v>
      </c>
      <c r="D33" s="141">
        <f>D29*D26+D30*C8</f>
        <v>0.18608519471506169</v>
      </c>
    </row>
    <row r="34" spans="2:4">
      <c r="B34" s="112" t="s">
        <v>107</v>
      </c>
      <c r="D34" s="141">
        <f>D29*E26</f>
        <v>0.12319144753641774</v>
      </c>
    </row>
    <row r="35" spans="2:4">
      <c r="B35" s="112" t="s">
        <v>75</v>
      </c>
      <c r="D35" s="128">
        <f>(D33-C8)/D34</f>
        <v>1.1087230278277598</v>
      </c>
    </row>
    <row r="37" spans="2:4">
      <c r="C37" s="96" t="s">
        <v>76</v>
      </c>
    </row>
  </sheetData>
  <mergeCells count="3">
    <mergeCell ref="B10:C10"/>
    <mergeCell ref="E6:E7"/>
    <mergeCell ref="F6:F7"/>
  </mergeCells>
  <printOptions headings="1" gridLines="1"/>
  <pageMargins left="0.25" right="0.25" top="0.75" bottom="0.75" header="0.3" footer="0.3"/>
  <pageSetup scale="67" orientation="landscape" horizontalDpi="300" verticalDpi="300" r:id="rId1"/>
  <headerFooter alignWithMargins="0">
    <oddHeader>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CB5A-0308-9D44-928C-B6B9ECB64DBD}">
  <sheetPr>
    <pageSetUpPr fitToPage="1"/>
  </sheetPr>
  <dimension ref="B1:M78"/>
  <sheetViews>
    <sheetView showGridLines="0" topLeftCell="A21" zoomScale="125" zoomScaleNormal="125" zoomScalePageLayoutView="120" workbookViewId="0">
      <selection activeCell="E63" sqref="E63"/>
    </sheetView>
  </sheetViews>
  <sheetFormatPr baseColWidth="10" defaultColWidth="12.5" defaultRowHeight="16"/>
  <cols>
    <col min="1" max="1" width="2.83203125" style="4" customWidth="1"/>
    <col min="2" max="2" width="42.1640625" style="4" customWidth="1"/>
    <col min="3" max="5" width="15.83203125" style="4" customWidth="1"/>
    <col min="6" max="11" width="13.83203125" style="4" customWidth="1"/>
    <col min="12" max="16384" width="12.5" style="4"/>
  </cols>
  <sheetData>
    <row r="1" spans="2:11" s="3" customFormat="1" ht="30">
      <c r="B1" s="94" t="s">
        <v>203</v>
      </c>
      <c r="C1" s="1"/>
      <c r="D1" s="1"/>
      <c r="E1" s="1"/>
      <c r="F1" s="2"/>
      <c r="G1" s="1"/>
      <c r="H1" s="1"/>
      <c r="I1" s="1"/>
      <c r="J1" s="1"/>
      <c r="K1" s="1"/>
    </row>
    <row r="2" spans="2:11">
      <c r="B2" s="5"/>
      <c r="C2" s="5"/>
      <c r="D2" s="5"/>
      <c r="E2" s="6"/>
      <c r="F2" s="5"/>
      <c r="G2" s="5"/>
      <c r="H2" s="6"/>
      <c r="K2"/>
    </row>
    <row r="3" spans="2:11" ht="17">
      <c r="B3" s="161" t="s">
        <v>0</v>
      </c>
      <c r="C3" s="159" t="str">
        <f>'Data. Securities'!F6</f>
        <v>ACWI</v>
      </c>
      <c r="D3" s="159" t="str">
        <f>'Data. Securities'!G6</f>
        <v>PWR</v>
      </c>
      <c r="E3" s="159" t="str">
        <f>'Data. Securities'!H6</f>
        <v>ETN</v>
      </c>
      <c r="F3" s="159" t="str">
        <f>'Data. Securities'!I6</f>
        <v>AEP</v>
      </c>
      <c r="G3" s="159" t="str">
        <f>'Data. Securities'!J6</f>
        <v>SBGSY</v>
      </c>
      <c r="H3" s="159" t="str">
        <f>'Data. Securities'!K6</f>
        <v>NVT</v>
      </c>
      <c r="I3" s="159" t="str">
        <f>'Data. Securities'!L6</f>
        <v>HUBB</v>
      </c>
      <c r="J3" s="159" t="str">
        <f>'Data. Securities'!M6</f>
        <v>MLI</v>
      </c>
      <c r="K3"/>
    </row>
    <row r="4" spans="2:11" ht="17">
      <c r="B4" s="7" t="s">
        <v>1</v>
      </c>
      <c r="C4" s="9">
        <f>'Data. Securities'!F17</f>
        <v>1</v>
      </c>
      <c r="D4" s="9">
        <f>'Data. Securities'!G17</f>
        <v>1.1426533486093871</v>
      </c>
      <c r="E4" s="9">
        <f>'Data. Securities'!H17</f>
        <v>1.1848108377195834</v>
      </c>
      <c r="F4" s="9">
        <f>'Data. Securities'!I17</f>
        <v>0.65975158873433015</v>
      </c>
      <c r="G4" s="9">
        <f>'Data. Securities'!J17</f>
        <v>1.7159450045145443</v>
      </c>
      <c r="H4" s="9">
        <f>'Data. Securities'!K17</f>
        <v>1.2999021188742133</v>
      </c>
      <c r="I4" s="9">
        <f>'Data. Securities'!L17</f>
        <v>0.98604857090373321</v>
      </c>
      <c r="J4" s="9">
        <f>'Data. Securities'!M17</f>
        <v>1.0637776368923129</v>
      </c>
      <c r="K4"/>
    </row>
    <row r="5" spans="2:11" ht="17">
      <c r="B5" s="7" t="s">
        <v>2</v>
      </c>
      <c r="C5" s="9">
        <f>'Data. Securities'!F8</f>
        <v>0.14970926864927731</v>
      </c>
      <c r="D5" s="9">
        <f>'Data. Securities'!G8</f>
        <v>0.31305007238556531</v>
      </c>
      <c r="E5" s="9">
        <f>'Data. Securities'!H8</f>
        <v>0.2722423781601192</v>
      </c>
      <c r="F5" s="9">
        <f>'Data. Securities'!I8</f>
        <v>0.19049372642547185</v>
      </c>
      <c r="G5" s="9">
        <f>'Data. Securities'!J8</f>
        <v>0.30688909185814944</v>
      </c>
      <c r="H5" s="9">
        <f>'Data. Securities'!K8</f>
        <v>0.30019722201777632</v>
      </c>
      <c r="I5" s="9">
        <f>'Data. Securities'!L8</f>
        <v>0.27717203114555639</v>
      </c>
      <c r="J5" s="9">
        <f>'Data. Securities'!M8</f>
        <v>0.30960777169591502</v>
      </c>
      <c r="K5"/>
    </row>
    <row r="6" spans="2:11" ht="17">
      <c r="B6" s="7" t="s">
        <v>3</v>
      </c>
      <c r="C6" s="9">
        <f>'Data. Securities'!F10</f>
        <v>0</v>
      </c>
      <c r="D6" s="9">
        <f>'Data. Securities'!G10</f>
        <v>0.26217711736434618</v>
      </c>
      <c r="E6" s="9">
        <f>'Data. Securities'!H10</f>
        <v>0.2065266427283021</v>
      </c>
      <c r="F6" s="9">
        <f>'Data. Securities'!I10</f>
        <v>0.31664495154633215</v>
      </c>
      <c r="G6" s="9">
        <f>'Data. Securities'!J10</f>
        <v>0.16788974711863183</v>
      </c>
      <c r="H6" s="9">
        <f>'Data. Securities'!K10</f>
        <v>0.22857456925765679</v>
      </c>
      <c r="I6" s="9">
        <f>'Data. Securities'!L10</f>
        <v>0.36828462732883366</v>
      </c>
      <c r="J6" s="9">
        <f>'Data. Securities'!M10</f>
        <v>0.37877784721819124</v>
      </c>
      <c r="K6"/>
    </row>
    <row r="7" spans="2:11" ht="17">
      <c r="B7" s="7" t="s">
        <v>4</v>
      </c>
      <c r="C7" s="9">
        <f>C4*$C$5</f>
        <v>0.14970926864927731</v>
      </c>
      <c r="D7" s="9">
        <f t="shared" ref="D7:I7" si="0">D4*$C$5</f>
        <v>0.17106579713995904</v>
      </c>
      <c r="E7" s="9">
        <f t="shared" si="0"/>
        <v>0.1773771640027364</v>
      </c>
      <c r="F7" s="9">
        <f t="shared" si="0"/>
        <v>9.8770927839615344E-2</v>
      </c>
      <c r="G7" s="9">
        <f t="shared" si="0"/>
        <v>0.25689287166825325</v>
      </c>
      <c r="H7" s="9">
        <f t="shared" si="0"/>
        <v>0.19460739553230438</v>
      </c>
      <c r="I7" s="9">
        <f t="shared" si="0"/>
        <v>0.14762061040266294</v>
      </c>
      <c r="J7" s="9">
        <f t="shared" ref="J7:K7" si="1">J4*$C$5</f>
        <v>0.15925737202460463</v>
      </c>
      <c r="K7"/>
    </row>
    <row r="8" spans="2:11" ht="17">
      <c r="B8" s="7" t="s">
        <v>5</v>
      </c>
      <c r="C8" s="9">
        <f t="shared" ref="C8:I8" si="2">C4*$C$5/C5</f>
        <v>1</v>
      </c>
      <c r="D8" s="9">
        <f t="shared" si="2"/>
        <v>0.54644867460457691</v>
      </c>
      <c r="E8" s="9">
        <f t="shared" si="2"/>
        <v>0.65154134048304602</v>
      </c>
      <c r="F8" s="9">
        <f t="shared" si="2"/>
        <v>0.51849963614554073</v>
      </c>
      <c r="G8" s="9">
        <f t="shared" si="2"/>
        <v>0.83708700792465607</v>
      </c>
      <c r="H8" s="9">
        <f t="shared" si="2"/>
        <v>0.6482651445747909</v>
      </c>
      <c r="I8" s="9">
        <f t="shared" si="2"/>
        <v>0.53259562226587087</v>
      </c>
      <c r="J8" s="9">
        <f t="shared" ref="J8:K8" si="3">J4*$C$5/J5</f>
        <v>0.51438428419368354</v>
      </c>
      <c r="K8"/>
    </row>
    <row r="9" spans="2:11">
      <c r="B9" s="10"/>
      <c r="C9" s="8"/>
      <c r="D9" s="8"/>
      <c r="E9" s="8"/>
      <c r="F9" s="8"/>
      <c r="G9" s="8"/>
      <c r="H9" s="8"/>
      <c r="I9" s="8"/>
      <c r="K9"/>
    </row>
    <row r="10" spans="2:11">
      <c r="B10" s="160" t="s">
        <v>6</v>
      </c>
      <c r="C10" s="159" t="str">
        <f t="shared" ref="C10:I10" si="4">C3</f>
        <v>ACWI</v>
      </c>
      <c r="D10" s="159" t="str">
        <f t="shared" si="4"/>
        <v>PWR</v>
      </c>
      <c r="E10" s="159" t="str">
        <f t="shared" si="4"/>
        <v>ETN</v>
      </c>
      <c r="F10" s="159" t="str">
        <f t="shared" si="4"/>
        <v>AEP</v>
      </c>
      <c r="G10" s="159" t="str">
        <f t="shared" si="4"/>
        <v>SBGSY</v>
      </c>
      <c r="H10" s="159" t="str">
        <f t="shared" si="4"/>
        <v>NVT</v>
      </c>
      <c r="I10" s="159" t="str">
        <f t="shared" si="4"/>
        <v>HUBB</v>
      </c>
      <c r="J10" s="159" t="str">
        <f t="shared" ref="J10:K10" si="5">J3</f>
        <v>MLI</v>
      </c>
      <c r="K10"/>
    </row>
    <row r="11" spans="2:11">
      <c r="B11" s="12" t="str" cm="1">
        <f t="array" ref="B11:B18">TRANSPOSE(C3:J3)</f>
        <v>ACWI</v>
      </c>
      <c r="C11" s="82">
        <f>'Data. Securities'!S7</f>
        <v>1</v>
      </c>
      <c r="D11" s="82"/>
      <c r="E11" s="82"/>
      <c r="F11" s="82"/>
      <c r="G11" s="82"/>
      <c r="H11" s="82"/>
      <c r="I11" s="82"/>
      <c r="J11" s="274"/>
      <c r="K11"/>
    </row>
    <row r="12" spans="2:11">
      <c r="B12" s="12" t="str">
        <v>PWR</v>
      </c>
      <c r="C12" s="82">
        <f>'Data. Securities'!S8</f>
        <v>0.54644867460457658</v>
      </c>
      <c r="D12" s="82">
        <f>'Data. Securities'!T8</f>
        <v>1</v>
      </c>
      <c r="E12" s="82"/>
      <c r="F12" s="82"/>
      <c r="G12" s="82"/>
      <c r="H12" s="82"/>
      <c r="I12" s="82"/>
      <c r="J12" s="274"/>
      <c r="K12"/>
    </row>
    <row r="13" spans="2:11">
      <c r="B13" s="12" t="str">
        <v>ETN</v>
      </c>
      <c r="C13" s="82">
        <f>'Data. Securities'!S9</f>
        <v>0.65154134048304602</v>
      </c>
      <c r="D13" s="82">
        <f>'Data. Securities'!T9</f>
        <v>0.35603390195704965</v>
      </c>
      <c r="E13" s="82">
        <f>'Data. Securities'!U9</f>
        <v>1</v>
      </c>
      <c r="F13" s="82"/>
      <c r="G13" s="82"/>
      <c r="H13" s="82"/>
      <c r="I13" s="82"/>
      <c r="J13" s="274"/>
      <c r="K13"/>
    </row>
    <row r="14" spans="2:11">
      <c r="B14" s="12" t="str">
        <v>AEP</v>
      </c>
      <c r="C14" s="82">
        <f>'Data. Securities'!S10</f>
        <v>0.51849963614554084</v>
      </c>
      <c r="D14" s="82">
        <f>'Data. Securities'!T10</f>
        <v>0.28333343895468599</v>
      </c>
      <c r="E14" s="82">
        <f>'Data. Securities'!U10</f>
        <v>0.33782394797423732</v>
      </c>
      <c r="F14" s="82">
        <f>'Data. Securities'!V10</f>
        <v>1</v>
      </c>
      <c r="G14" s="82"/>
      <c r="H14" s="82"/>
      <c r="I14" s="82"/>
      <c r="J14" s="274"/>
      <c r="K14"/>
    </row>
    <row r="15" spans="2:11">
      <c r="B15" s="12" t="str">
        <v>SBGSY</v>
      </c>
      <c r="C15" s="82">
        <f>'Data. Securities'!S11</f>
        <v>0.83708700792465596</v>
      </c>
      <c r="D15" s="82">
        <f>'Data. Securities'!T11</f>
        <v>0.45742508600913895</v>
      </c>
      <c r="E15" s="82">
        <f>'Data. Securities'!U11</f>
        <v>0.54539679124417251</v>
      </c>
      <c r="F15" s="82">
        <f>'Data. Securities'!V11</f>
        <v>0.4340293090310936</v>
      </c>
      <c r="G15" s="82">
        <f>'Data. Securities'!W11</f>
        <v>1</v>
      </c>
      <c r="H15" s="82"/>
      <c r="I15" s="82"/>
      <c r="J15" s="274"/>
      <c r="K15"/>
    </row>
    <row r="16" spans="2:11">
      <c r="B16" s="266" t="str">
        <v>NVT</v>
      </c>
      <c r="C16" s="273">
        <f>'Data. Securities'!S12</f>
        <v>0.64826514457479079</v>
      </c>
      <c r="D16" s="82">
        <f>'Data. Securities'!T12</f>
        <v>0.35424362904523865</v>
      </c>
      <c r="E16" s="82">
        <f>'Data. Securities'!U12</f>
        <v>0.42237154128469484</v>
      </c>
      <c r="F16" s="82">
        <f>'Data. Securities'!V12</f>
        <v>0.33612524158786544</v>
      </c>
      <c r="G16" s="82">
        <f>'Data. Securities'!W12</f>
        <v>0.54265433021395615</v>
      </c>
      <c r="H16" s="82">
        <f>'Data. Securities'!X12</f>
        <v>1</v>
      </c>
      <c r="I16" s="82"/>
      <c r="J16" s="274"/>
      <c r="K16"/>
    </row>
    <row r="17" spans="2:11">
      <c r="B17" s="266" t="str">
        <v>HUBB</v>
      </c>
      <c r="C17" s="273">
        <f>'Data. Securities'!S13</f>
        <v>0.53259562226587087</v>
      </c>
      <c r="D17" s="82">
        <f>'Data. Securities'!T13</f>
        <v>0.29103617188738484</v>
      </c>
      <c r="E17" s="82">
        <f>'Data. Securities'!U13</f>
        <v>0.34700806566650755</v>
      </c>
      <c r="F17" s="82">
        <f>'Data. Securities'!V13</f>
        <v>0.27615063635756198</v>
      </c>
      <c r="G17" s="82">
        <f>'Data. Securities'!W13</f>
        <v>0.4458288758763081</v>
      </c>
      <c r="H17" s="82">
        <f>'Data. Securities'!X13</f>
        <v>0.34526317806808543</v>
      </c>
      <c r="I17" s="82">
        <f>'Data. Securities'!Y13</f>
        <v>1</v>
      </c>
      <c r="J17" s="274"/>
      <c r="K17"/>
    </row>
    <row r="18" spans="2:11">
      <c r="B18" s="266" t="str">
        <v>MLI</v>
      </c>
      <c r="C18" s="273">
        <f>'Data. Securities'!S14</f>
        <v>0.51438428419368343</v>
      </c>
      <c r="D18" s="82">
        <f>'Data. Securities'!T14</f>
        <v>0.28108461033506216</v>
      </c>
      <c r="E18" s="82">
        <f>'Data. Securities'!U14</f>
        <v>0.3351426260469646</v>
      </c>
      <c r="F18" s="82">
        <f>'Data. Securities'!V14</f>
        <v>0.26670806419340931</v>
      </c>
      <c r="G18" s="82">
        <f>'Data. Securities'!W14</f>
        <v>0.43058440137915638</v>
      </c>
      <c r="H18" s="82">
        <f>'Data. Securities'!X14</f>
        <v>0.33345740235981847</v>
      </c>
      <c r="I18" s="82">
        <f>'Data. Securities'!Y14</f>
        <v>0.27395881792391941</v>
      </c>
      <c r="J18" s="82">
        <f>'Data. Securities'!Z14</f>
        <v>1</v>
      </c>
      <c r="K18"/>
    </row>
    <row r="19" spans="2:11" customFormat="1"/>
    <row r="20" spans="2:11">
      <c r="B20" s="10"/>
      <c r="C20" s="8"/>
      <c r="D20" s="8"/>
      <c r="E20" s="8"/>
      <c r="F20" s="8"/>
      <c r="G20" s="8"/>
      <c r="H20" s="8"/>
      <c r="I20" s="8"/>
      <c r="K20"/>
    </row>
    <row r="21" spans="2:11">
      <c r="B21" s="160" t="s">
        <v>7</v>
      </c>
      <c r="C21" s="159" t="str">
        <f t="shared" ref="C21:I21" si="6">C3</f>
        <v>ACWI</v>
      </c>
      <c r="D21" s="159" t="str">
        <f t="shared" si="6"/>
        <v>PWR</v>
      </c>
      <c r="E21" s="159" t="str">
        <f t="shared" si="6"/>
        <v>ETN</v>
      </c>
      <c r="F21" s="159" t="str">
        <f t="shared" si="6"/>
        <v>AEP</v>
      </c>
      <c r="G21" s="159" t="str">
        <f t="shared" si="6"/>
        <v>SBGSY</v>
      </c>
      <c r="H21" s="159" t="str">
        <f t="shared" si="6"/>
        <v>NVT</v>
      </c>
      <c r="I21" s="159" t="str">
        <f t="shared" si="6"/>
        <v>HUBB</v>
      </c>
      <c r="J21" s="159" t="str">
        <f t="shared" ref="J21:K21" si="7">J3</f>
        <v>MLI</v>
      </c>
      <c r="K21"/>
    </row>
    <row r="22" spans="2:11">
      <c r="B22" s="12" t="str" cm="1">
        <f t="array" ref="B22:B29">TRANSPOSE(C3:J3)</f>
        <v>ACWI</v>
      </c>
      <c r="C22" s="82">
        <f>'Data. Securities'!S18</f>
        <v>2.2412865119501486E-2</v>
      </c>
      <c r="D22" s="82"/>
      <c r="E22" s="82"/>
      <c r="F22" s="82"/>
      <c r="G22" s="82"/>
      <c r="H22" s="82"/>
      <c r="I22" s="82"/>
      <c r="J22" s="274"/>
      <c r="K22"/>
    </row>
    <row r="23" spans="2:11">
      <c r="B23" s="12" t="str">
        <v>PWR</v>
      </c>
      <c r="C23" s="82">
        <f>'Data. Securities'!S19</f>
        <v>2.5610135380728902E-2</v>
      </c>
      <c r="D23" s="82">
        <f>'Data. Securities'!T19</f>
        <v>9.8000347820607681E-2</v>
      </c>
      <c r="E23" s="82"/>
      <c r="F23" s="82"/>
      <c r="G23" s="82"/>
      <c r="H23" s="82"/>
      <c r="I23" s="82"/>
      <c r="J23" s="274"/>
      <c r="K23"/>
    </row>
    <row r="24" spans="2:11">
      <c r="B24" s="12" t="str">
        <v>ETN</v>
      </c>
      <c r="C24" s="82">
        <f>'Data. Securities'!S20</f>
        <v>2.6555005497932587E-2</v>
      </c>
      <c r="D24" s="82">
        <f>'Data. Securities'!T20</f>
        <v>3.0343165954553351E-2</v>
      </c>
      <c r="E24" s="82">
        <f>'Data. Securities'!U20</f>
        <v>7.4115912466277342E-2</v>
      </c>
      <c r="F24" s="82"/>
      <c r="G24" s="82"/>
      <c r="H24" s="82"/>
      <c r="I24" s="82"/>
      <c r="J24" s="274"/>
      <c r="K24"/>
    </row>
    <row r="25" spans="2:11">
      <c r="B25" s="12" t="str">
        <v>AEP</v>
      </c>
      <c r="C25" s="82">
        <f>'Data. Securities'!S21</f>
        <v>1.4786923370679357E-2</v>
      </c>
      <c r="D25" s="82">
        <f>'Data. Securities'!T21</f>
        <v>1.6896327505137171E-2</v>
      </c>
      <c r="E25" s="82">
        <f>'Data. Securities'!U21</f>
        <v>1.7519707066109894E-2</v>
      </c>
      <c r="F25" s="82">
        <f>'Data. Securities'!V21</f>
        <v>3.6287859807462512E-2</v>
      </c>
      <c r="G25" s="82"/>
      <c r="H25" s="82"/>
      <c r="I25" s="82"/>
      <c r="J25" s="274"/>
      <c r="K25"/>
    </row>
    <row r="26" spans="2:11">
      <c r="B26" s="12" t="str">
        <v>SBGSY</v>
      </c>
      <c r="C26" s="82">
        <f>'Data. Securities'!S22</f>
        <v>3.845924393866685E-2</v>
      </c>
      <c r="D26" s="82">
        <f>'Data. Securities'!T22</f>
        <v>4.394558387150295E-2</v>
      </c>
      <c r="E26" s="82">
        <f>'Data. Securities'!U22</f>
        <v>4.5566929029033677E-2</v>
      </c>
      <c r="F26" s="82">
        <f>'Data. Securities'!V22</f>
        <v>2.537354729005661E-2</v>
      </c>
      <c r="G26" s="82">
        <f>'Data. Securities'!W22</f>
        <v>9.418091470151968E-2</v>
      </c>
      <c r="H26" s="82"/>
      <c r="I26" s="82"/>
      <c r="J26" s="274"/>
      <c r="K26"/>
    </row>
    <row r="27" spans="2:11">
      <c r="B27" s="12" t="str">
        <v>NVT</v>
      </c>
      <c r="C27" s="82">
        <f>'Data. Securities'!S23</f>
        <v>2.913453085888193E-2</v>
      </c>
      <c r="D27" s="82">
        <f>'Data. Securities'!T23</f>
        <v>3.3290669246064955E-2</v>
      </c>
      <c r="E27" s="82">
        <f>'Data. Securities'!U23</f>
        <v>3.4518907913478954E-2</v>
      </c>
      <c r="F27" s="82">
        <f>'Data. Securities'!V23</f>
        <v>1.9221553021176722E-2</v>
      </c>
      <c r="G27" s="82">
        <f>'Data. Securities'!W23</f>
        <v>4.9993252686173287E-2</v>
      </c>
      <c r="H27" s="82">
        <f>'Data. Securities'!X23</f>
        <v>9.0118372107190092E-2</v>
      </c>
      <c r="I27" s="82"/>
      <c r="J27" s="274"/>
      <c r="K27"/>
    </row>
    <row r="28" spans="2:11">
      <c r="B28" s="266" t="str">
        <v>HUBB</v>
      </c>
      <c r="C28" s="273">
        <f>'Data. Securities'!S24</f>
        <v>2.2100173620942569E-2</v>
      </c>
      <c r="D28" s="82">
        <f>'Data. Securities'!T24</f>
        <v>2.5252837392818868E-2</v>
      </c>
      <c r="E28" s="82">
        <f>'Data. Securities'!U24</f>
        <v>2.6184525221577205E-2</v>
      </c>
      <c r="F28" s="82">
        <f>'Data. Securities'!V24</f>
        <v>1.4580624657721393E-2</v>
      </c>
      <c r="G28" s="82">
        <f>'Data. Securities'!W24</f>
        <v>3.7922682523760513E-2</v>
      </c>
      <c r="H28" s="82">
        <f>'Data. Securities'!X24</f>
        <v>2.872806251735124E-2</v>
      </c>
      <c r="I28" s="82">
        <f>'Data. Securities'!Y24</f>
        <v>7.6824334849353276E-2</v>
      </c>
      <c r="J28" s="274"/>
      <c r="K28"/>
    </row>
    <row r="29" spans="2:11">
      <c r="B29" s="266" t="str">
        <v>MLI</v>
      </c>
      <c r="C29" s="273">
        <f>'Data. Securities'!S25</f>
        <v>2.3842304692809436E-2</v>
      </c>
      <c r="D29" s="82">
        <f>'Data. Securities'!T25</f>
        <v>2.7243489295804005E-2</v>
      </c>
      <c r="E29" s="82">
        <f>'Data. Securities'!U25</f>
        <v>2.8248620996253103E-2</v>
      </c>
      <c r="F29" s="82">
        <f>'Data. Securities'!V25</f>
        <v>1.5729998400169001E-2</v>
      </c>
      <c r="G29" s="82">
        <f>'Data. Securities'!W25</f>
        <v>4.0912083633740028E-2</v>
      </c>
      <c r="H29" s="82">
        <f>'Data. Securities'!X25</f>
        <v>3.0992662389027585E-2</v>
      </c>
      <c r="I29" s="82">
        <f>'Data. Securities'!Y25</f>
        <v>2.3509670469396116E-2</v>
      </c>
      <c r="J29" s="82">
        <f>'Data. Securities'!Z25</f>
        <v>9.5856972294509846E-2</v>
      </c>
      <c r="K29"/>
    </row>
    <row r="30" spans="2:11" customFormat="1"/>
    <row r="31" spans="2:11">
      <c r="B31" s="10"/>
      <c r="C31" s="8"/>
      <c r="D31" s="8"/>
      <c r="E31" s="8"/>
      <c r="F31" s="8"/>
      <c r="G31" s="8"/>
      <c r="H31" s="8"/>
      <c r="I31" s="8"/>
      <c r="K31"/>
    </row>
    <row r="32" spans="2:11">
      <c r="B32" s="155" t="s">
        <v>8</v>
      </c>
      <c r="C32" s="159" t="str">
        <f t="shared" ref="C32:K32" si="8">C21</f>
        <v>ACWI</v>
      </c>
      <c r="D32" s="159" t="str">
        <f t="shared" si="8"/>
        <v>PWR</v>
      </c>
      <c r="E32" s="159" t="str">
        <f t="shared" si="8"/>
        <v>ETN</v>
      </c>
      <c r="F32" s="159" t="str">
        <f t="shared" si="8"/>
        <v>AEP</v>
      </c>
      <c r="G32" s="159" t="str">
        <f t="shared" si="8"/>
        <v>SBGSY</v>
      </c>
      <c r="H32" s="159" t="str">
        <f t="shared" si="8"/>
        <v>NVT</v>
      </c>
      <c r="I32" s="159" t="str">
        <f t="shared" si="8"/>
        <v>HUBB</v>
      </c>
      <c r="J32" s="159" t="str">
        <f t="shared" si="8"/>
        <v>MLI</v>
      </c>
      <c r="K32"/>
    </row>
    <row r="33" spans="2:13">
      <c r="B33" s="12" t="str" cm="1">
        <f t="array" ref="B33:B40">TRANSPOSE(C3:J3)</f>
        <v>ACWI</v>
      </c>
      <c r="C33" s="84"/>
      <c r="D33" s="84"/>
      <c r="E33" s="84"/>
      <c r="F33" s="84"/>
      <c r="G33" s="84"/>
      <c r="H33" s="84"/>
      <c r="I33" s="84"/>
      <c r="J33" s="274"/>
      <c r="K33"/>
    </row>
    <row r="34" spans="2:13">
      <c r="B34" s="12" t="str">
        <v>PWR</v>
      </c>
      <c r="C34" s="83"/>
      <c r="D34" s="84">
        <f>'Data. Securities'!T30</f>
        <v>1</v>
      </c>
      <c r="E34" s="84"/>
      <c r="F34" s="84"/>
      <c r="G34" s="84"/>
      <c r="H34" s="84"/>
      <c r="I34" s="84"/>
      <c r="J34" s="276"/>
      <c r="K34"/>
    </row>
    <row r="35" spans="2:13">
      <c r="B35" s="12" t="str">
        <v>ETN</v>
      </c>
      <c r="C35" s="83"/>
      <c r="D35" s="84">
        <f>'Data. Securities'!T31</f>
        <v>0.4846927394139029</v>
      </c>
      <c r="E35" s="84">
        <f>'Data. Securities'!U31</f>
        <v>1</v>
      </c>
      <c r="F35" s="84"/>
      <c r="G35" s="84"/>
      <c r="H35" s="84"/>
      <c r="I35" s="84"/>
      <c r="J35" s="274"/>
      <c r="K35"/>
    </row>
    <row r="36" spans="2:13">
      <c r="B36" s="12" t="str">
        <v>AEP</v>
      </c>
      <c r="C36" s="83"/>
      <c r="D36" s="84">
        <f>'Data. Securities'!T32</f>
        <v>-0.30579046959488837</v>
      </c>
      <c r="E36" s="84">
        <f>'Data. Securities'!U32</f>
        <v>-0.79932470394808597</v>
      </c>
      <c r="F36" s="84">
        <f>'Data. Securities'!V32</f>
        <v>1</v>
      </c>
      <c r="G36" s="84"/>
      <c r="H36" s="84"/>
      <c r="I36" s="84"/>
      <c r="J36" s="274"/>
      <c r="K36"/>
    </row>
    <row r="37" spans="2:13">
      <c r="B37" s="12" t="str">
        <v>SBGSY</v>
      </c>
      <c r="C37" s="83"/>
      <c r="D37" s="84">
        <f>'Data. Securities'!T33</f>
        <v>0.29144100287875302</v>
      </c>
      <c r="E37" s="84">
        <f>'Data. Securities'!U33</f>
        <v>0.35585520989917208</v>
      </c>
      <c r="F37" s="84">
        <f>'Data. Securities'!V33</f>
        <v>-0.2790968883113481</v>
      </c>
      <c r="G37" s="84">
        <f>'Data. Securities'!W33</f>
        <v>1</v>
      </c>
      <c r="H37" s="84"/>
      <c r="I37" s="84"/>
      <c r="J37" s="274"/>
      <c r="K37"/>
    </row>
    <row r="38" spans="2:13">
      <c r="B38" s="12" t="str">
        <v>NVT</v>
      </c>
      <c r="C38" s="83"/>
      <c r="D38" s="84">
        <f>'Data. Securities'!T34</f>
        <v>0.40668987077818641</v>
      </c>
      <c r="E38" s="84">
        <f>'Data. Securities'!U34</f>
        <v>0.61548093617299349</v>
      </c>
      <c r="F38" s="84">
        <f>'Data. Securities'!V34</f>
        <v>-0.55455838272824698</v>
      </c>
      <c r="G38" s="84">
        <f>'Data. Securities'!W34</f>
        <v>0.11064935346370712</v>
      </c>
      <c r="H38" s="84">
        <f>'Data. Securities'!X34</f>
        <v>1</v>
      </c>
      <c r="I38" s="84"/>
      <c r="J38" s="274"/>
      <c r="K38"/>
    </row>
    <row r="39" spans="2:13">
      <c r="B39" s="12" t="str">
        <v>HUBB</v>
      </c>
      <c r="C39" s="83"/>
      <c r="D39" s="84">
        <f>'Data. Securities'!T35</f>
        <v>-0.69696713915349118</v>
      </c>
      <c r="E39" s="84">
        <f>'Data. Securities'!U35</f>
        <v>-1.7644132633676049E-2</v>
      </c>
      <c r="F39" s="84">
        <f>'Data. Securities'!V35</f>
        <v>7.091941897315214E-2</v>
      </c>
      <c r="G39" s="84">
        <f>'Data. Securities'!W35</f>
        <v>-8.7612789760530538E-2</v>
      </c>
      <c r="H39" s="84">
        <f>'Data. Securities'!X35</f>
        <v>3.7089587672419059E-3</v>
      </c>
      <c r="I39" s="84">
        <f>'Data. Securities'!Y35</f>
        <v>1</v>
      </c>
      <c r="J39" s="274"/>
      <c r="K39"/>
    </row>
    <row r="40" spans="2:13">
      <c r="B40" s="266" t="str">
        <v>MLI</v>
      </c>
      <c r="C40" s="275"/>
      <c r="D40" s="84">
        <f>'Data. Securities'!T36</f>
        <v>-0.35025617505238577</v>
      </c>
      <c r="E40" s="84">
        <f>'Data. Securities'!U36</f>
        <v>-0.58850792937584884</v>
      </c>
      <c r="F40" s="84">
        <f>'Data. Securities'!V36</f>
        <v>0.59472053763389698</v>
      </c>
      <c r="G40" s="84">
        <f>'Data. Securities'!W36</f>
        <v>-0.2796765561697892</v>
      </c>
      <c r="H40" s="84">
        <f>'Data. Securities'!X36</f>
        <v>-0.23607942799947365</v>
      </c>
      <c r="I40" s="84">
        <f>'Data. Securities'!Y36</f>
        <v>0.36085479151030814</v>
      </c>
      <c r="J40" s="84">
        <f>'Data. Securities'!Z36</f>
        <v>1</v>
      </c>
      <c r="K40"/>
    </row>
    <row r="41" spans="2:13" customFormat="1"/>
    <row r="42" spans="2:13">
      <c r="K42"/>
    </row>
    <row r="43" spans="2:13" ht="17">
      <c r="B43" s="158" t="s">
        <v>183</v>
      </c>
      <c r="C43" s="154" t="str">
        <f t="shared" ref="C43:I43" si="9">C3</f>
        <v>ACWI</v>
      </c>
      <c r="D43" s="154" t="str">
        <f t="shared" si="9"/>
        <v>PWR</v>
      </c>
      <c r="E43" s="154" t="str">
        <f t="shared" si="9"/>
        <v>ETN</v>
      </c>
      <c r="F43" s="154" t="str">
        <f t="shared" si="9"/>
        <v>AEP</v>
      </c>
      <c r="G43" s="154" t="str">
        <f t="shared" si="9"/>
        <v>SBGSY</v>
      </c>
      <c r="H43" s="154" t="str">
        <f t="shared" si="9"/>
        <v>NVT</v>
      </c>
      <c r="I43" s="154" t="str">
        <f t="shared" si="9"/>
        <v>HUBB</v>
      </c>
      <c r="J43" s="154" t="str">
        <f t="shared" ref="J43:K43" si="10">J3</f>
        <v>MLI</v>
      </c>
      <c r="K43"/>
    </row>
    <row r="44" spans="2:13" s="14" customFormat="1">
      <c r="B44" s="13" t="s">
        <v>108</v>
      </c>
      <c r="C44" s="85">
        <f>'Data. Securities'!F14</f>
        <v>0</v>
      </c>
      <c r="D44" s="85">
        <f>'Data. Securities'!G14</f>
        <v>0.13281089529749876</v>
      </c>
      <c r="E44" s="85">
        <f>'Data. Securities'!H14</f>
        <v>8.5832913198011868E-2</v>
      </c>
      <c r="F44" s="85">
        <f>'Data. Securities'!I14</f>
        <v>2.6141521670244222E-2</v>
      </c>
      <c r="G44" s="85">
        <f>'Data. Securities'!J16</f>
        <v>9.1037173164988272E-2</v>
      </c>
      <c r="H44" s="85">
        <f>'Data. Securities'!K16</f>
        <v>0.12804232867519516</v>
      </c>
      <c r="I44" s="85">
        <f>'Data. Securities'!L16</f>
        <v>0.13726440315369604</v>
      </c>
      <c r="J44" s="85">
        <f>'Data. Securities'!M16</f>
        <v>0.41757035903358813</v>
      </c>
      <c r="K44"/>
    </row>
    <row r="45" spans="2:13">
      <c r="B45" s="13" t="s">
        <v>1</v>
      </c>
      <c r="C45" s="86">
        <f t="shared" ref="C45:I45" si="11">C4</f>
        <v>1</v>
      </c>
      <c r="D45" s="86">
        <f t="shared" si="11"/>
        <v>1.1426533486093871</v>
      </c>
      <c r="E45" s="86">
        <f t="shared" si="11"/>
        <v>1.1848108377195834</v>
      </c>
      <c r="F45" s="86">
        <f t="shared" si="11"/>
        <v>0.65975158873433015</v>
      </c>
      <c r="G45" s="86">
        <f t="shared" si="11"/>
        <v>1.7159450045145443</v>
      </c>
      <c r="H45" s="86">
        <f t="shared" si="11"/>
        <v>1.2999021188742133</v>
      </c>
      <c r="I45" s="86">
        <f t="shared" si="11"/>
        <v>0.98604857090373321</v>
      </c>
      <c r="J45" s="86">
        <f t="shared" ref="J45:K45" si="12">J4</f>
        <v>1.0637776368923129</v>
      </c>
      <c r="K45"/>
    </row>
    <row r="46" spans="2:13" ht="17" thickBot="1">
      <c r="B46" s="15" t="s">
        <v>131</v>
      </c>
      <c r="C46" s="86">
        <f t="shared" ref="C46:H46" si="13">C44+C45*$C$47</f>
        <v>5.6200006331255173E-2</v>
      </c>
      <c r="D46" s="87">
        <f>D44+D45*$C$47</f>
        <v>0.19702802072377623</v>
      </c>
      <c r="E46" s="87">
        <f t="shared" si="13"/>
        <v>0.1524192897791922</v>
      </c>
      <c r="F46" s="87">
        <f t="shared" si="13"/>
        <v>6.3219565134169237E-2</v>
      </c>
      <c r="G46" s="87">
        <f t="shared" si="13"/>
        <v>0.18747329328279133</v>
      </c>
      <c r="H46" s="87">
        <f t="shared" si="13"/>
        <v>0.20109683598593797</v>
      </c>
      <c r="I46" s="87">
        <f t="shared" ref="I46" si="14">I44+I45*$C$47</f>
        <v>0.19268033908141097</v>
      </c>
      <c r="J46" s="87">
        <f>J44+J45*$C$47</f>
        <v>0.47735466896198375</v>
      </c>
      <c r="K46"/>
    </row>
    <row r="47" spans="2:13" ht="17" thickBot="1">
      <c r="B47" s="16" t="s">
        <v>109</v>
      </c>
      <c r="C47" s="134">
        <f>'Data. Securities'!F7*'Data. Securities'!B27/'Data. Securities'!F27</f>
        <v>5.6200006331255173E-2</v>
      </c>
      <c r="D47" s="17"/>
      <c r="E47" s="17"/>
      <c r="F47" s="17"/>
      <c r="G47" s="17"/>
      <c r="H47" s="17"/>
      <c r="I47" s="17"/>
      <c r="J47" s="17"/>
      <c r="M47"/>
    </row>
    <row r="48" spans="2:13">
      <c r="B48" s="5"/>
      <c r="C48" s="5"/>
      <c r="D48" s="5"/>
      <c r="E48" s="5"/>
      <c r="F48" s="6"/>
      <c r="G48" s="5"/>
      <c r="H48" s="5"/>
      <c r="I48" s="5"/>
      <c r="J48" s="5"/>
      <c r="M48"/>
    </row>
    <row r="49" spans="2:13">
      <c r="B49" s="155" t="s">
        <v>9</v>
      </c>
      <c r="C49" s="155"/>
      <c r="D49" s="156"/>
      <c r="E49" s="157" t="s">
        <v>10</v>
      </c>
      <c r="F49" s="154" t="str">
        <f t="shared" ref="F49:K49" si="15">D43</f>
        <v>PWR</v>
      </c>
      <c r="G49" s="154" t="str">
        <f t="shared" si="15"/>
        <v>ETN</v>
      </c>
      <c r="H49" s="154" t="str">
        <f t="shared" si="15"/>
        <v>AEP</v>
      </c>
      <c r="I49" s="154" t="str">
        <f t="shared" si="15"/>
        <v>SBGSY</v>
      </c>
      <c r="J49" s="154" t="str">
        <f t="shared" si="15"/>
        <v>NVT</v>
      </c>
      <c r="K49" s="154" t="str">
        <f t="shared" si="15"/>
        <v>HUBB</v>
      </c>
      <c r="L49" s="154" t="str">
        <f t="shared" ref="L49" si="16">J43</f>
        <v>MLI</v>
      </c>
      <c r="M49"/>
    </row>
    <row r="50" spans="2:13" ht="18">
      <c r="B50" s="13" t="s">
        <v>11</v>
      </c>
      <c r="C50" s="18" t="s">
        <v>94</v>
      </c>
      <c r="D50" s="19"/>
      <c r="E50" s="20"/>
      <c r="F50" s="86">
        <f t="shared" ref="F50:K50" si="17">D6^2</f>
        <v>6.873684086947815E-2</v>
      </c>
      <c r="G50" s="86">
        <f t="shared" si="17"/>
        <v>4.2653254156623736E-2</v>
      </c>
      <c r="H50" s="86">
        <f t="shared" si="17"/>
        <v>0.10026402533977903</v>
      </c>
      <c r="I50" s="86">
        <f t="shared" si="17"/>
        <v>2.8186967187558146E-2</v>
      </c>
      <c r="J50" s="86">
        <f t="shared" si="17"/>
        <v>5.2246333711323339E-2</v>
      </c>
      <c r="K50" s="86">
        <f t="shared" si="17"/>
        <v>0.1356335667267379</v>
      </c>
      <c r="L50" s="86">
        <f t="shared" ref="L50:M50" si="18">J6^2</f>
        <v>0.14347265754324742</v>
      </c>
      <c r="M50"/>
    </row>
    <row r="51" spans="2:13" ht="18">
      <c r="B51" s="13" t="s">
        <v>12</v>
      </c>
      <c r="C51" s="18" t="s">
        <v>95</v>
      </c>
      <c r="D51" s="19"/>
      <c r="E51" s="88">
        <f>SUM(F51:M51)</f>
        <v>13.808213418764467</v>
      </c>
      <c r="F51" s="86">
        <f t="shared" ref="F51:J51" si="19">D44/F50</f>
        <v>1.9321646677025566</v>
      </c>
      <c r="G51" s="86">
        <f t="shared" si="19"/>
        <v>2.0123414941057352</v>
      </c>
      <c r="H51" s="86">
        <f t="shared" si="19"/>
        <v>0.26072683179889011</v>
      </c>
      <c r="I51" s="86">
        <f t="shared" si="19"/>
        <v>3.2297612069869115</v>
      </c>
      <c r="J51" s="86">
        <f t="shared" si="19"/>
        <v>2.4507428479607283</v>
      </c>
      <c r="K51" s="86">
        <f>I44/K50</f>
        <v>1.0120238408995303</v>
      </c>
      <c r="L51" s="86">
        <f>J44/L50</f>
        <v>2.9104525293101129</v>
      </c>
      <c r="M51"/>
    </row>
    <row r="52" spans="2:13" ht="18">
      <c r="B52" s="13" t="s">
        <v>13</v>
      </c>
      <c r="C52" s="21" t="s">
        <v>96</v>
      </c>
      <c r="D52" s="19"/>
      <c r="E52" s="88">
        <f>SUM(F52:M52)</f>
        <v>0.99999999999999978</v>
      </c>
      <c r="F52" s="86">
        <f t="shared" ref="F52:K52" si="20">F51/$E$51</f>
        <v>0.13992865036955976</v>
      </c>
      <c r="G52" s="86">
        <f t="shared" si="20"/>
        <v>0.14573510946543553</v>
      </c>
      <c r="H52" s="86">
        <f t="shared" si="20"/>
        <v>1.8882010575284075E-2</v>
      </c>
      <c r="I52" s="86">
        <f t="shared" si="20"/>
        <v>0.23390145481079219</v>
      </c>
      <c r="J52" s="86">
        <f t="shared" si="20"/>
        <v>0.17748442710411236</v>
      </c>
      <c r="K52" s="86">
        <f t="shared" si="20"/>
        <v>7.3291439682142773E-2</v>
      </c>
      <c r="L52" s="86">
        <f t="shared" ref="L52:M52" si="21">L51/$E$51</f>
        <v>0.21077690799267315</v>
      </c>
      <c r="M52"/>
    </row>
    <row r="53" spans="2:13" ht="19">
      <c r="B53" s="15" t="s">
        <v>14</v>
      </c>
      <c r="C53" s="22" t="s">
        <v>97</v>
      </c>
      <c r="D53" s="23"/>
      <c r="E53" s="24"/>
      <c r="F53" s="87">
        <f>F52^2</f>
        <v>1.9580027194246497E-2</v>
      </c>
      <c r="G53" s="87">
        <f t="shared" ref="G53:J53" si="22">G52^2</f>
        <v>2.1238722130902474E-2</v>
      </c>
      <c r="H53" s="87">
        <f t="shared" si="22"/>
        <v>3.5653032336513965E-4</v>
      </c>
      <c r="I53" s="87">
        <f t="shared" si="22"/>
        <v>5.4709890562605064E-2</v>
      </c>
      <c r="J53" s="87">
        <f t="shared" si="22"/>
        <v>3.1500721864474973E-2</v>
      </c>
      <c r="K53" s="87">
        <f t="shared" ref="K53:M53" si="23">K52^2</f>
        <v>5.3716351306811721E-3</v>
      </c>
      <c r="L53" s="87">
        <f t="shared" si="23"/>
        <v>4.4426904942951803E-2</v>
      </c>
      <c r="M53"/>
    </row>
    <row r="54" spans="2:13" ht="18">
      <c r="B54" s="13" t="s">
        <v>15</v>
      </c>
      <c r="C54" s="18" t="s">
        <v>98</v>
      </c>
      <c r="D54" s="18"/>
      <c r="E54" s="88">
        <f>SUMPRODUCT(D44:J44,F52:L52)</f>
        <v>0.17368026428851374</v>
      </c>
      <c r="M54"/>
    </row>
    <row r="55" spans="2:13" ht="18">
      <c r="B55" s="13" t="s">
        <v>16</v>
      </c>
      <c r="C55" s="18" t="s">
        <v>99</v>
      </c>
      <c r="D55" s="19"/>
      <c r="E55" s="88">
        <f>SUMPRODUCT(F50:M50,F53:M53)</f>
        <v>1.2578040259175999E-2</v>
      </c>
      <c r="M55"/>
    </row>
    <row r="56" spans="2:13" ht="18">
      <c r="B56" s="13" t="s">
        <v>17</v>
      </c>
      <c r="C56" s="18" t="s">
        <v>100</v>
      </c>
      <c r="D56" s="19"/>
      <c r="E56" s="88">
        <f>E54/E55</f>
        <v>13.808213418764469</v>
      </c>
      <c r="M56"/>
    </row>
    <row r="57" spans="2:13" ht="19">
      <c r="B57" s="13" t="s">
        <v>18</v>
      </c>
      <c r="C57" s="25" t="s">
        <v>101</v>
      </c>
      <c r="D57" s="19"/>
      <c r="E57" s="88">
        <f>C46/C5^2</f>
        <v>2.5074887138081876</v>
      </c>
      <c r="M57"/>
    </row>
    <row r="58" spans="2:13" ht="18">
      <c r="B58" s="13" t="s">
        <v>19</v>
      </c>
      <c r="C58" s="26" t="s">
        <v>102</v>
      </c>
      <c r="D58" s="19"/>
      <c r="E58" s="88">
        <f>E56/E57</f>
        <v>5.5067898582058143</v>
      </c>
      <c r="M58"/>
    </row>
    <row r="59" spans="2:13" ht="18">
      <c r="B59" s="13" t="s">
        <v>20</v>
      </c>
      <c r="C59" s="18" t="s">
        <v>103</v>
      </c>
      <c r="D59" s="19"/>
      <c r="E59" s="88">
        <f>SUMPRODUCT(D45:K45,F52:M52)</f>
        <v>1.2735790107626528</v>
      </c>
      <c r="M59"/>
    </row>
    <row r="60" spans="2:13">
      <c r="B60" s="5"/>
      <c r="C60" s="29"/>
      <c r="D60" s="6"/>
      <c r="E60" s="11"/>
      <c r="F60" s="29"/>
      <c r="G60" s="6"/>
      <c r="H60" s="6"/>
      <c r="I60" s="6"/>
      <c r="J60" s="6"/>
      <c r="M60"/>
    </row>
    <row r="61" spans="2:13">
      <c r="B61" s="155" t="s">
        <v>21</v>
      </c>
      <c r="C61" s="156" t="s">
        <v>22</v>
      </c>
      <c r="D61" s="157" t="str">
        <f>C43</f>
        <v>ACWI</v>
      </c>
      <c r="E61" s="156" t="s">
        <v>10</v>
      </c>
      <c r="F61" s="154" t="str">
        <f>F49</f>
        <v>PWR</v>
      </c>
      <c r="G61" s="154" t="str">
        <f t="shared" ref="G61:M61" si="24">G49</f>
        <v>ETN</v>
      </c>
      <c r="H61" s="154" t="str">
        <f t="shared" si="24"/>
        <v>AEP</v>
      </c>
      <c r="I61" s="154" t="str">
        <f t="shared" si="24"/>
        <v>SBGSY</v>
      </c>
      <c r="J61" s="154" t="str">
        <f t="shared" si="24"/>
        <v>NVT</v>
      </c>
      <c r="K61" s="154" t="str">
        <f t="shared" si="24"/>
        <v>HUBB</v>
      </c>
      <c r="L61" s="154" t="str">
        <f t="shared" si="24"/>
        <v>MLI</v>
      </c>
      <c r="M61"/>
    </row>
    <row r="62" spans="2:13">
      <c r="B62" s="225" t="s">
        <v>104</v>
      </c>
      <c r="C62" s="89">
        <v>1</v>
      </c>
      <c r="D62" s="223">
        <f>C62-E62</f>
        <v>0</v>
      </c>
      <c r="E62" s="230">
        <v>1</v>
      </c>
      <c r="F62" s="93">
        <f>$E$62*F52</f>
        <v>0.13992865036955976</v>
      </c>
      <c r="G62" s="93">
        <f t="shared" ref="G62:M62" si="25">$E$62*G52</f>
        <v>0.14573510946543553</v>
      </c>
      <c r="H62" s="93">
        <f t="shared" si="25"/>
        <v>1.8882010575284075E-2</v>
      </c>
      <c r="I62" s="93">
        <f>$E$62*I52</f>
        <v>0.23390145481079219</v>
      </c>
      <c r="J62" s="93">
        <f>$E$62*J52</f>
        <v>0.17748442710411236</v>
      </c>
      <c r="K62" s="93">
        <f t="shared" si="25"/>
        <v>7.3291439682142773E-2</v>
      </c>
      <c r="L62" s="93">
        <f t="shared" si="25"/>
        <v>0.21077690799267315</v>
      </c>
      <c r="M62"/>
    </row>
    <row r="63" spans="2:13">
      <c r="B63" s="13" t="s">
        <v>1</v>
      </c>
      <c r="C63" s="90">
        <f>D63*D62+E63*E62</f>
        <v>1.2735790107626528</v>
      </c>
      <c r="D63" s="92">
        <f>1</f>
        <v>1</v>
      </c>
      <c r="E63" s="91">
        <f>SUMPRODUCT(D45:K45,F52:M52)</f>
        <v>1.2735790107626528</v>
      </c>
      <c r="G63" s="8"/>
      <c r="H63" s="8"/>
      <c r="I63" s="8"/>
      <c r="J63" s="8"/>
      <c r="M63"/>
    </row>
    <row r="64" spans="2:13">
      <c r="B64" s="13" t="s">
        <v>23</v>
      </c>
      <c r="C64" s="90">
        <f>D64*D62+E64*E62</f>
        <v>0.24525541275672852</v>
      </c>
      <c r="D64" s="92">
        <f>C46</f>
        <v>5.6200006331255173E-2</v>
      </c>
      <c r="E64" s="91">
        <f>SUMPRODUCT(D46:K46,F52:M52)</f>
        <v>0.24525541275672852</v>
      </c>
      <c r="G64" s="28"/>
      <c r="H64" s="28"/>
      <c r="I64" s="28"/>
      <c r="J64" s="28"/>
      <c r="M64"/>
    </row>
    <row r="65" spans="2:5">
      <c r="B65" s="13" t="s">
        <v>24</v>
      </c>
      <c r="C65" s="90">
        <f>SQRT((D62+E62*E59)^2*D65^2+E62^2*E55)</f>
        <v>0.22120530249763062</v>
      </c>
      <c r="D65" s="92">
        <f>C5</f>
        <v>0.14970926864927731</v>
      </c>
      <c r="E65" s="91">
        <f>SQRT(E59^2*C5^2+E55)</f>
        <v>0.22120530249763062</v>
      </c>
    </row>
    <row r="66" spans="2:5">
      <c r="B66" s="15" t="s">
        <v>187</v>
      </c>
      <c r="C66" s="222">
        <f>C64/C65</f>
        <v>1.1087230278277598</v>
      </c>
      <c r="D66" s="223">
        <f>D64/D65</f>
        <v>0.37539430149054082</v>
      </c>
      <c r="E66" s="89">
        <f>E64/E65</f>
        <v>1.1087230278277598</v>
      </c>
    </row>
    <row r="67" spans="2:5">
      <c r="B67" s="226" t="s">
        <v>182</v>
      </c>
      <c r="C67" s="19"/>
      <c r="D67" s="229"/>
      <c r="E67" s="19"/>
    </row>
    <row r="68" spans="2:5">
      <c r="B68" s="224" t="s">
        <v>184</v>
      </c>
      <c r="C68" s="249">
        <f>C64/C63</f>
        <v>0.19257180801830512</v>
      </c>
      <c r="D68" s="250">
        <f>D64/D63</f>
        <v>5.6200006331255173E-2</v>
      </c>
      <c r="E68" s="249">
        <f>E64/E63</f>
        <v>0.19257180801830512</v>
      </c>
    </row>
    <row r="69" spans="2:5">
      <c r="B69" s="13" t="s">
        <v>185</v>
      </c>
      <c r="C69" s="251">
        <f>SUMPRODUCT($D$62*D69+$E$62*E69)</f>
        <v>0.17368026428851374</v>
      </c>
      <c r="D69" s="252">
        <v>0</v>
      </c>
      <c r="E69" s="251">
        <f>E54</f>
        <v>0.17368026428851374</v>
      </c>
    </row>
    <row r="70" spans="2:5">
      <c r="B70" s="15" t="s">
        <v>186</v>
      </c>
      <c r="C70" s="253">
        <f>SUMPRODUCT($D$62*D70+$E$62*E70)</f>
        <v>0.85466037337644007</v>
      </c>
      <c r="D70" s="254">
        <v>0</v>
      </c>
      <c r="E70" s="253">
        <f>(E64-D64)/E65</f>
        <v>0.85466037337644007</v>
      </c>
    </row>
    <row r="71" spans="2:5">
      <c r="B71" s="227" t="s">
        <v>178</v>
      </c>
      <c r="C71" s="249">
        <f t="shared" ref="C71:C75" si="26">SUMPRODUCT($D$62*D71+$E$62*E71)</f>
        <v>0.24525541275672852</v>
      </c>
      <c r="D71" s="250">
        <f>D64</f>
        <v>5.6200006331255173E-2</v>
      </c>
      <c r="E71" s="249">
        <f>E64</f>
        <v>0.24525541275672852</v>
      </c>
    </row>
    <row r="72" spans="2:5">
      <c r="B72" s="227" t="s">
        <v>179</v>
      </c>
      <c r="C72" s="251">
        <f t="shared" si="26"/>
        <v>0.12157514846821479</v>
      </c>
      <c r="D72" s="88">
        <f>5%+$C$47*D63</f>
        <v>0.10620000633125518</v>
      </c>
      <c r="E72" s="255">
        <f>5%+$C$47*E63</f>
        <v>0.12157514846821479</v>
      </c>
    </row>
    <row r="73" spans="2:5">
      <c r="B73" s="227" t="s">
        <v>180</v>
      </c>
      <c r="C73" s="251">
        <f>SUMPRODUCT($D$62*D73+$E$62*E73)</f>
        <v>1.4775658480828364</v>
      </c>
      <c r="D73" s="252">
        <f>D65/$D$65</f>
        <v>1</v>
      </c>
      <c r="E73" s="251">
        <f>E65/$D$65</f>
        <v>1.4775658480828364</v>
      </c>
    </row>
    <row r="74" spans="2:5">
      <c r="B74" s="228" t="s">
        <v>181</v>
      </c>
      <c r="C74" s="253">
        <f>SUMPRODUCT($D$62*D74+$E$62*E74)</f>
        <v>0.13303921001710184</v>
      </c>
      <c r="D74" s="254">
        <f>5%+$C$47*D73</f>
        <v>0.10620000633125518</v>
      </c>
      <c r="E74" s="253">
        <f>5%+$C$47*E73</f>
        <v>0.13303921001710184</v>
      </c>
    </row>
    <row r="75" spans="2:5">
      <c r="B75" s="227" t="s">
        <v>174</v>
      </c>
      <c r="C75" s="251">
        <f t="shared" si="26"/>
        <v>0.17368026428851371</v>
      </c>
      <c r="D75" s="88">
        <f>D64+5%-D72</f>
        <v>0</v>
      </c>
      <c r="E75" s="255">
        <f>E64+5%-E72</f>
        <v>0.17368026428851371</v>
      </c>
    </row>
    <row r="76" spans="2:5">
      <c r="B76" s="227" t="s">
        <v>175</v>
      </c>
      <c r="C76" s="251">
        <f>SUMPRODUCT($D$62*D76+$E$62*E76)</f>
        <v>-1.1464061548887045E-2</v>
      </c>
      <c r="D76" s="88">
        <f>D72-D74</f>
        <v>0</v>
      </c>
      <c r="E76" s="255">
        <f>E72-E74</f>
        <v>-1.1464061548887045E-2</v>
      </c>
    </row>
    <row r="77" spans="2:5">
      <c r="B77" s="227" t="s">
        <v>176</v>
      </c>
      <c r="C77" s="251">
        <f>SUMPRODUCT($D$62*D77+$E$62*E77)</f>
        <v>0.18514432583740076</v>
      </c>
      <c r="D77" s="88">
        <f>D75-D76</f>
        <v>0</v>
      </c>
      <c r="E77" s="255">
        <f>E75-E76</f>
        <v>0.18514432583740076</v>
      </c>
    </row>
    <row r="78" spans="2:5">
      <c r="B78" s="227" t="s">
        <v>177</v>
      </c>
      <c r="C78" s="251">
        <f>SUMPRODUCT($D$62*D78+$E$62*E78)</f>
        <v>7.1575148468214805E-2</v>
      </c>
      <c r="D78" s="88">
        <f>D71-D75</f>
        <v>5.6200006331255173E-2</v>
      </c>
      <c r="E78" s="255">
        <f>E71-E75</f>
        <v>7.1575148468214805E-2</v>
      </c>
    </row>
  </sheetData>
  <pageMargins left="0.25" right="0.25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7F81-EF02-454B-AFE8-CB8B0B85144A}">
  <sheetPr>
    <pageSetUpPr fitToPage="1"/>
  </sheetPr>
  <dimension ref="B1:AV143"/>
  <sheetViews>
    <sheetView showGridLines="0" zoomScale="75" workbookViewId="0">
      <selection activeCell="F26" sqref="F26"/>
    </sheetView>
  </sheetViews>
  <sheetFormatPr baseColWidth="10" defaultRowHeight="16"/>
  <cols>
    <col min="1" max="1" width="3.1640625" style="31" customWidth="1"/>
    <col min="2" max="2" width="11.6640625" style="31" customWidth="1"/>
    <col min="3" max="3" width="14" style="31" customWidth="1"/>
    <col min="4" max="30" width="13.33203125" style="31" customWidth="1"/>
    <col min="31" max="31" width="14.6640625" style="31" customWidth="1"/>
    <col min="32" max="32" width="15.1640625" style="31" customWidth="1"/>
    <col min="33" max="35" width="10.83203125" style="31"/>
    <col min="36" max="36" width="12.5" style="31" customWidth="1"/>
    <col min="37" max="37" width="20.1640625" style="31" customWidth="1"/>
    <col min="38" max="46" width="10.83203125" style="31"/>
    <col min="47" max="47" width="19.5" style="31" customWidth="1"/>
    <col min="48" max="16384" width="10.83203125" style="31"/>
  </cols>
  <sheetData>
    <row r="1" spans="2:27" ht="29" customHeight="1"/>
    <row r="2" spans="2:27" ht="33">
      <c r="B2" s="30" t="s">
        <v>26</v>
      </c>
      <c r="D2" s="32"/>
      <c r="E2" s="32"/>
      <c r="F2" s="32"/>
      <c r="G2" s="32"/>
      <c r="H2" s="32"/>
      <c r="I2" s="32"/>
      <c r="J2" s="32"/>
    </row>
    <row r="3" spans="2:27" ht="17" customHeight="1">
      <c r="B3" s="33"/>
      <c r="D3" s="32"/>
      <c r="E3" s="32"/>
      <c r="F3" s="32"/>
      <c r="G3" s="32"/>
      <c r="H3" s="32"/>
      <c r="I3" s="32"/>
      <c r="J3" s="32"/>
    </row>
    <row r="4" spans="2:27" ht="17" customHeight="1">
      <c r="B4" s="34" t="s">
        <v>27</v>
      </c>
      <c r="E4" s="35"/>
      <c r="G4" s="36"/>
      <c r="I4" s="32"/>
      <c r="J4" s="32"/>
      <c r="N4"/>
      <c r="Q4" s="34" t="s">
        <v>28</v>
      </c>
    </row>
    <row r="5" spans="2:27" ht="17" customHeight="1">
      <c r="B5" s="37"/>
      <c r="C5" s="37"/>
      <c r="D5" s="37"/>
      <c r="E5" s="37"/>
      <c r="F5" s="37"/>
      <c r="G5" s="37"/>
      <c r="H5" s="37"/>
      <c r="I5" s="38"/>
      <c r="J5" s="38"/>
      <c r="K5" s="37"/>
      <c r="N5"/>
      <c r="R5" s="37"/>
      <c r="S5" s="37"/>
      <c r="T5" s="37"/>
      <c r="U5" s="37"/>
      <c r="V5" s="37"/>
      <c r="W5" s="37"/>
      <c r="X5" s="37"/>
    </row>
    <row r="6" spans="2:27" ht="17" customHeight="1">
      <c r="B6" s="39" t="s">
        <v>29</v>
      </c>
      <c r="C6" s="40"/>
      <c r="D6" s="41"/>
      <c r="E6" s="42" t="s">
        <v>30</v>
      </c>
      <c r="F6" s="191" t="s">
        <v>216</v>
      </c>
      <c r="G6" s="203" t="s">
        <v>198</v>
      </c>
      <c r="H6" s="203" t="s">
        <v>209</v>
      </c>
      <c r="I6" s="203" t="s">
        <v>205</v>
      </c>
      <c r="J6" s="203" t="s">
        <v>200</v>
      </c>
      <c r="K6" s="203" t="s">
        <v>218</v>
      </c>
      <c r="L6" s="258" t="s">
        <v>220</v>
      </c>
      <c r="M6" s="258" t="s">
        <v>221</v>
      </c>
      <c r="N6" s="43" t="s">
        <v>211</v>
      </c>
      <c r="Q6" s="44"/>
      <c r="R6" s="45" t="s">
        <v>32</v>
      </c>
      <c r="S6" s="149" t="str">
        <f>F6</f>
        <v>ACWI</v>
      </c>
      <c r="T6" s="149" t="str">
        <f>G6</f>
        <v>PWR</v>
      </c>
      <c r="U6" s="149" t="str">
        <f>H6</f>
        <v>ETN</v>
      </c>
      <c r="V6" s="149" t="str">
        <f>I6</f>
        <v>AEP</v>
      </c>
      <c r="W6" s="149" t="str">
        <f>J6</f>
        <v>SBGSY</v>
      </c>
      <c r="X6" s="149" t="str">
        <f>K6</f>
        <v>NVT</v>
      </c>
      <c r="Y6" s="267" t="str">
        <f>L6</f>
        <v>HUBB</v>
      </c>
      <c r="Z6" s="267" t="str">
        <f>M6</f>
        <v>MLI</v>
      </c>
      <c r="AA6"/>
    </row>
    <row r="7" spans="2:27" ht="17" customHeight="1">
      <c r="B7" s="46" t="s">
        <v>92</v>
      </c>
      <c r="C7" s="136"/>
      <c r="D7" s="137"/>
      <c r="E7" s="138">
        <v>4.9500000000000002E-2</v>
      </c>
      <c r="F7" s="192">
        <f>AVERAGE(E42:E100)*12</f>
        <v>4.3535932506384101E-2</v>
      </c>
      <c r="G7" s="192">
        <f>AVERAGE(H42:H100)*12</f>
        <v>0.37697866120086698</v>
      </c>
      <c r="H7" s="192">
        <f>AVERAGE(M42:M100)*12</f>
        <v>0.1972720326344457</v>
      </c>
      <c r="I7" s="192">
        <f>AVERAGE(R42:R100)*12</f>
        <v>5.7797287238000039E-2</v>
      </c>
      <c r="J7" s="192">
        <f>AVERAGE(W42:W100)*12</f>
        <v>0.1449273843714628</v>
      </c>
      <c r="K7" s="192">
        <f>AVERAGE(AB42:AB100)*12</f>
        <v>0.2850109775689621</v>
      </c>
      <c r="L7" s="192">
        <f>AVERAGE(AG42:AG100)*12</f>
        <v>0.20126188734491546</v>
      </c>
      <c r="M7" s="192">
        <f>AVERAGE(AL42:AL100)*12</f>
        <v>0.33528932590219779</v>
      </c>
      <c r="N7" s="139">
        <f>AVERAGE(AS42:AS100)*12</f>
        <v>-0.13274896321876101</v>
      </c>
      <c r="R7" s="144" t="s">
        <v>196</v>
      </c>
      <c r="S7" s="49">
        <v>1</v>
      </c>
      <c r="T7" s="50"/>
      <c r="U7" s="50"/>
      <c r="V7" s="50"/>
      <c r="W7" s="50"/>
      <c r="X7" s="50"/>
      <c r="AA7"/>
    </row>
    <row r="8" spans="2:27" ht="17" customHeight="1">
      <c r="B8" s="46" t="s">
        <v>2</v>
      </c>
      <c r="D8" s="51"/>
      <c r="E8" s="48">
        <v>0</v>
      </c>
      <c r="F8" s="193">
        <f>_xlfn.STDEV.S(E42:E100)*SQRT(12)</f>
        <v>0.14970926864927731</v>
      </c>
      <c r="G8" s="193">
        <f>_xlfn.STDEV.S(H42:H100)*SQRT(12)</f>
        <v>0.31305007238556531</v>
      </c>
      <c r="H8" s="193">
        <f>_xlfn.STDEV.S(M42:M100)*SQRT(12)</f>
        <v>0.2722423781601192</v>
      </c>
      <c r="I8" s="193">
        <f>_xlfn.STDEV.S(R42:R100)*SQRT(12)</f>
        <v>0.19049372642547185</v>
      </c>
      <c r="J8" s="193">
        <f>_xlfn.STDEV.S(W42:W100)*SQRT(12)</f>
        <v>0.30688909185814944</v>
      </c>
      <c r="K8" s="193">
        <f>_xlfn.STDEV.S(AB42:AB100)*SQRT(12)</f>
        <v>0.30019722201777632</v>
      </c>
      <c r="L8" s="193">
        <f>_xlfn.STDEV.S(AG42:AG100)*SQRT(12)</f>
        <v>0.27717203114555639</v>
      </c>
      <c r="M8" s="193">
        <f>_xlfn.STDEV.S(AL42:AL100)*SQRT(12)</f>
        <v>0.30960777169591502</v>
      </c>
      <c r="N8" s="48">
        <f>_xlfn.STDEV.S(AS42:AS100)*SQRT(12)</f>
        <v>0.14724104274769068</v>
      </c>
      <c r="R8" s="145" t="str">
        <f>T6</f>
        <v>PWR</v>
      </c>
      <c r="S8" s="52">
        <f>G18</f>
        <v>0.54644867460457658</v>
      </c>
      <c r="T8" s="52">
        <v>1</v>
      </c>
      <c r="U8" s="53"/>
      <c r="V8" s="53"/>
      <c r="W8" s="53"/>
      <c r="X8" s="53"/>
      <c r="AA8"/>
    </row>
    <row r="9" spans="2:27" ht="17" customHeight="1">
      <c r="B9" s="54" t="s">
        <v>25</v>
      </c>
      <c r="C9" s="37"/>
      <c r="D9" s="55"/>
      <c r="E9" s="56"/>
      <c r="F9" s="194">
        <f>F7/F8</f>
        <v>0.29080318739900718</v>
      </c>
      <c r="G9" s="194">
        <f t="shared" ref="G9:O9" si="0">G7/G8</f>
        <v>1.2042120237447655</v>
      </c>
      <c r="H9" s="194">
        <f t="shared" si="0"/>
        <v>0.72461912053390998</v>
      </c>
      <c r="I9" s="194">
        <f t="shared" si="0"/>
        <v>0.30340782514227554</v>
      </c>
      <c r="J9" s="194">
        <f t="shared" si="0"/>
        <v>0.47224677649491453</v>
      </c>
      <c r="K9" s="194">
        <f t="shared" si="0"/>
        <v>0.94941244177164652</v>
      </c>
      <c r="L9" s="194">
        <f>L7/L8</f>
        <v>0.72612624914965951</v>
      </c>
      <c r="M9" s="194">
        <f>M7/M8</f>
        <v>1.0829486742713494</v>
      </c>
      <c r="N9" s="57">
        <f>N7/N8</f>
        <v>-0.90157581569316236</v>
      </c>
      <c r="R9" s="145" t="str">
        <f>U6</f>
        <v>ETN</v>
      </c>
      <c r="S9" s="52">
        <f>H18</f>
        <v>0.65154134048304602</v>
      </c>
      <c r="T9" s="52">
        <f>G18*H18</f>
        <v>0.35603390195704965</v>
      </c>
      <c r="U9" s="52">
        <v>1</v>
      </c>
      <c r="V9" s="53"/>
      <c r="W9" s="53"/>
      <c r="X9" s="53"/>
      <c r="AA9"/>
    </row>
    <row r="10" spans="2:27" ht="17" customHeight="1">
      <c r="B10" s="46" t="s">
        <v>34</v>
      </c>
      <c r="D10" s="51"/>
      <c r="E10" s="60"/>
      <c r="F10" s="195">
        <v>0</v>
      </c>
      <c r="G10" s="204">
        <f>_xlfn.STDEV.S(J42:J100)*SQRT(12)</f>
        <v>0.26217711736434618</v>
      </c>
      <c r="H10" s="204">
        <f>_xlfn.STDEV.S(O42:O100)*SQRT(12)</f>
        <v>0.2065266427283021</v>
      </c>
      <c r="I10" s="204">
        <f>_xlfn.STDEV.S(T42:T100)*SQRT(12)</f>
        <v>0.31664495154633215</v>
      </c>
      <c r="J10" s="204">
        <f>_xlfn.STDEV.S(Y42:Y100)*SQRT(12)</f>
        <v>0.16788974711863183</v>
      </c>
      <c r="K10" s="204">
        <f>_xlfn.STDEV.S(AD42:AD100)*SQRT(12)</f>
        <v>0.22857456925765679</v>
      </c>
      <c r="L10" s="204">
        <f>_xlfn.STDEV.S(AI42:AI100)*SQRT(12)</f>
        <v>0.36828462732883366</v>
      </c>
      <c r="M10" s="204">
        <f>_xlfn.STDEV.S(AN42:AN100)*SQRT(12)</f>
        <v>0.37877784721819124</v>
      </c>
      <c r="R10" s="145" t="str">
        <f>V6</f>
        <v>AEP</v>
      </c>
      <c r="S10" s="61">
        <f>I18</f>
        <v>0.51849963614554084</v>
      </c>
      <c r="T10" s="61">
        <f>G18*I18</f>
        <v>0.28333343895468599</v>
      </c>
      <c r="U10" s="61">
        <f>H18*I18</f>
        <v>0.33782394797423732</v>
      </c>
      <c r="V10" s="61">
        <v>1</v>
      </c>
      <c r="W10" s="62"/>
      <c r="X10" s="62"/>
      <c r="AA10"/>
    </row>
    <row r="11" spans="2:27" ht="17" customHeight="1">
      <c r="B11" s="46" t="s">
        <v>35</v>
      </c>
      <c r="D11" s="51"/>
      <c r="E11" s="60"/>
      <c r="F11" s="195">
        <f>F8</f>
        <v>0.14970926864927731</v>
      </c>
      <c r="G11" s="193">
        <f>_xlfn.STDEV.S(I42:I100)*SQRT(12)</f>
        <v>0.17106579713995906</v>
      </c>
      <c r="H11" s="193">
        <f>_xlfn.STDEV.S(O42:O100)*SQRT(12)</f>
        <v>0.2065266427283021</v>
      </c>
      <c r="I11" s="193">
        <f>_xlfn.STDEV.S(S42:S100)*SQRT(12)</f>
        <v>0.23612686433272131</v>
      </c>
      <c r="J11" s="193">
        <f>_xlfn.STDEV.S(X42:X100)*SQRT(12)</f>
        <v>0.25689287166825331</v>
      </c>
      <c r="K11" s="193">
        <f>_xlfn.STDEV.S(AC42:AC100)*SQRT(12)</f>
        <v>0.19460739553230438</v>
      </c>
      <c r="L11" s="193">
        <f>_xlfn.STDEV.S(AH42:AH100)*SQRT(12)</f>
        <v>0.34080459038224686</v>
      </c>
      <c r="M11" s="193">
        <f>_xlfn.STDEV.S(AM42:AM100)*SQRT(12)</f>
        <v>0.26846442048649749</v>
      </c>
      <c r="R11" s="145" t="str">
        <f>W6</f>
        <v>SBGSY</v>
      </c>
      <c r="S11" s="182">
        <f>J18</f>
        <v>0.83708700792465596</v>
      </c>
      <c r="T11" s="52">
        <f>G18*J18</f>
        <v>0.45742508600913895</v>
      </c>
      <c r="U11" s="52">
        <f>H18*J18</f>
        <v>0.54539679124417251</v>
      </c>
      <c r="V11" s="52">
        <f>I18*J18</f>
        <v>0.4340293090310936</v>
      </c>
      <c r="W11" s="52">
        <v>1</v>
      </c>
      <c r="X11" s="53"/>
      <c r="AA11"/>
    </row>
    <row r="12" spans="2:27" ht="17" customHeight="1">
      <c r="B12" s="54" t="s">
        <v>36</v>
      </c>
      <c r="C12" s="37"/>
      <c r="D12" s="55"/>
      <c r="E12" s="56"/>
      <c r="F12" s="196">
        <f>F8^2</f>
        <v>2.2412865119501486E-2</v>
      </c>
      <c r="G12" s="194">
        <f>_xlfn.COVARIANCE.S($E$42:$E$100,H42:H100)*12</f>
        <v>2.5610135380728899E-2</v>
      </c>
      <c r="H12" s="194">
        <f>_xlfn.COVARIANCE.S($E$42:$E$100,M42:M100)*12</f>
        <v>2.6555005497932584E-2</v>
      </c>
      <c r="I12" s="194">
        <f>_xlfn.COVARIANCE.S($E$42:$E$100,R42:R100)*12</f>
        <v>1.4786923370679354E-2</v>
      </c>
      <c r="J12" s="194">
        <f>_xlfn.COVARIANCE.S($E$42:$E$100,W42:W100)*12</f>
        <v>3.8459243938666843E-2</v>
      </c>
      <c r="K12" s="194">
        <f>_xlfn.COVARIANCE.S($E$42:$E$100,AB42:AB100)*12</f>
        <v>2.9134530858881923E-2</v>
      </c>
      <c r="L12" s="262">
        <f>_xlfn.COVARIANCE.S($E$42:$E$100,AG42:AG100)*12</f>
        <v>2.2100173620942569E-2</v>
      </c>
      <c r="M12" s="262">
        <f>_xlfn.COVARIANCE.S($E$42:$E$100,AL42:AL100)*12</f>
        <v>2.3842304692809433E-2</v>
      </c>
      <c r="R12" s="145" t="str">
        <f>$X6</f>
        <v>NVT</v>
      </c>
      <c r="S12" s="182">
        <f>K18</f>
        <v>0.64826514457479079</v>
      </c>
      <c r="T12" s="52">
        <f>G18*K18</f>
        <v>0.35424362904523865</v>
      </c>
      <c r="U12" s="52">
        <f>H18*K18</f>
        <v>0.42237154128469484</v>
      </c>
      <c r="V12" s="52">
        <f>I18*K18</f>
        <v>0.33612524158786544</v>
      </c>
      <c r="W12" s="52">
        <f>J18*K18</f>
        <v>0.54265433021395615</v>
      </c>
      <c r="X12" s="52">
        <v>1</v>
      </c>
      <c r="AA12"/>
    </row>
    <row r="13" spans="2:27" ht="17" customHeight="1">
      <c r="B13" s="46" t="s">
        <v>93</v>
      </c>
      <c r="D13" s="51"/>
      <c r="E13" s="60"/>
      <c r="F13" s="195">
        <v>0</v>
      </c>
      <c r="G13" s="193">
        <f>INTERCEPT(H42:H100,$E$42:$E$100)*12</f>
        <v>0.32723218213761496</v>
      </c>
      <c r="H13" s="193">
        <f>INTERCEPT(M42:M100,$E$42:$E$100)*12</f>
        <v>0.1456901879706535</v>
      </c>
      <c r="I13" s="193">
        <f>INTERCEPT(R42:R100,$E$42:$E$100)*12</f>
        <v>2.9074386599882564E-2</v>
      </c>
      <c r="J13" s="257">
        <f>INTERCEPT(W42:W100,$E$42:$E$100)*12</f>
        <v>7.0222118470250644E-2</v>
      </c>
      <c r="K13" s="257">
        <f>INTERCEPT(AB42:AB100,$E$42:$E$100)*12</f>
        <v>0.22841852665674867</v>
      </c>
      <c r="L13" s="257">
        <f>INTERCEPT(AG42:AG100,$E$42:$E$100)*12</f>
        <v>0.15833334331403401</v>
      </c>
      <c r="M13" s="257">
        <f>INTERCEPT(AL42:AL100,$E$42:$E$100)*12</f>
        <v>0.28897677450065329</v>
      </c>
      <c r="R13" s="145" t="str">
        <f>Y6</f>
        <v>HUBB</v>
      </c>
      <c r="S13" s="182">
        <f>L18</f>
        <v>0.53259562226587087</v>
      </c>
      <c r="T13" s="52">
        <f>$G$18*L18</f>
        <v>0.29103617188738484</v>
      </c>
      <c r="U13" s="52">
        <f>$H$18*L18</f>
        <v>0.34700806566650755</v>
      </c>
      <c r="V13" s="52">
        <f>$I$18*L18</f>
        <v>0.27615063635756198</v>
      </c>
      <c r="W13" s="52">
        <f>$J$18*L18</f>
        <v>0.4458288758763081</v>
      </c>
      <c r="X13" s="52">
        <f>$K$18*L18</f>
        <v>0.34526317806808543</v>
      </c>
      <c r="Y13" s="52">
        <v>1</v>
      </c>
      <c r="AA13"/>
    </row>
    <row r="14" spans="2:27" ht="17" customHeight="1">
      <c r="B14" s="46" t="s">
        <v>132</v>
      </c>
      <c r="D14" s="51"/>
      <c r="E14" s="60"/>
      <c r="F14" s="197">
        <f>F13*$B$27/B27</f>
        <v>0</v>
      </c>
      <c r="G14" s="197">
        <f t="shared" ref="G14:L14" si="1">G13*$B$27/G27</f>
        <v>0.13281089529749876</v>
      </c>
      <c r="H14" s="197">
        <f t="shared" si="1"/>
        <v>8.5832913198011868E-2</v>
      </c>
      <c r="I14" s="197">
        <f t="shared" si="1"/>
        <v>2.6141521670244222E-2</v>
      </c>
      <c r="J14" s="195">
        <f t="shared" si="1"/>
        <v>4.1201119067058568E-2</v>
      </c>
      <c r="K14" s="195">
        <f t="shared" si="1"/>
        <v>9.9900506482697354E-2</v>
      </c>
      <c r="L14" s="195">
        <f t="shared" si="1"/>
        <v>0.10492055417769459</v>
      </c>
      <c r="M14" s="195">
        <f t="shared" ref="M14:N14" si="2">M13*$B$27/M27</f>
        <v>0.35320904123194441</v>
      </c>
      <c r="R14" s="145" t="str">
        <f>Z6</f>
        <v>MLI</v>
      </c>
      <c r="S14" s="153">
        <f>M18</f>
        <v>0.51438428419368343</v>
      </c>
      <c r="T14" s="52">
        <f>$G$18*M18</f>
        <v>0.28108461033506216</v>
      </c>
      <c r="U14" s="52">
        <f>$H$18*M18</f>
        <v>0.3351426260469646</v>
      </c>
      <c r="V14" s="52">
        <f>$I$18*M18</f>
        <v>0.26670806419340931</v>
      </c>
      <c r="W14" s="52">
        <f>$J$18*M18</f>
        <v>0.43058440137915638</v>
      </c>
      <c r="X14" s="52">
        <f>$K$18*M18</f>
        <v>0.33345740235981847</v>
      </c>
      <c r="Y14" s="52">
        <f>$L$18*M18</f>
        <v>0.27395881792391941</v>
      </c>
      <c r="Z14" s="52">
        <v>1</v>
      </c>
      <c r="AA14"/>
    </row>
    <row r="15" spans="2:27" ht="17" customHeight="1">
      <c r="B15" s="46" t="s">
        <v>130</v>
      </c>
      <c r="F15" s="198">
        <v>0</v>
      </c>
      <c r="G15" s="198">
        <f>(G7+$E$7-($E$7+G17*($F$7-$E$7)))</f>
        <v>0.38379352289377955</v>
      </c>
      <c r="H15" s="198">
        <f t="shared" ref="H15:M15" si="3">(H7+$E$7-($E$7+H17*($F$7-$E$7)))</f>
        <v>0.20433832443777289</v>
      </c>
      <c r="I15" s="198">
        <f t="shared" si="3"/>
        <v>6.1732090242231905E-2</v>
      </c>
      <c r="J15" s="198">
        <f t="shared" si="3"/>
        <v>0.15516139619372057</v>
      </c>
      <c r="K15" s="198">
        <f t="shared" si="3"/>
        <v>0.29276368154102222</v>
      </c>
      <c r="L15" s="198">
        <f t="shared" si="3"/>
        <v>0.20714274757376883</v>
      </c>
      <c r="M15" s="198">
        <f t="shared" si="3"/>
        <v>0.34163376752682273</v>
      </c>
      <c r="Q15"/>
      <c r="R15"/>
      <c r="S15"/>
      <c r="T15"/>
      <c r="U15"/>
      <c r="V15"/>
      <c r="W15"/>
      <c r="X15"/>
      <c r="Y15"/>
      <c r="Z15"/>
      <c r="AA15"/>
    </row>
    <row r="16" spans="2:27" ht="17" customHeight="1">
      <c r="B16" s="54" t="s">
        <v>133</v>
      </c>
      <c r="C16" s="37"/>
      <c r="D16" s="37"/>
      <c r="E16" s="37"/>
      <c r="F16" s="199">
        <f t="shared" ref="F16:L16" si="4">F15*$B$27/F27</f>
        <v>0</v>
      </c>
      <c r="G16" s="199">
        <f t="shared" si="4"/>
        <v>0.15576695743045249</v>
      </c>
      <c r="H16" s="199">
        <f t="shared" si="4"/>
        <v>0.12038527720224669</v>
      </c>
      <c r="I16" s="199">
        <f t="shared" si="4"/>
        <v>5.5504894979393836E-2</v>
      </c>
      <c r="J16" s="205">
        <f t="shared" si="4"/>
        <v>9.1037173164988272E-2</v>
      </c>
      <c r="K16" s="205">
        <f t="shared" si="4"/>
        <v>0.12804232867519516</v>
      </c>
      <c r="L16" s="205">
        <f t="shared" si="4"/>
        <v>0.13726440315369604</v>
      </c>
      <c r="M16" s="205">
        <f t="shared" ref="M16" si="5">M15*$B$27/M27</f>
        <v>0.41757035903358813</v>
      </c>
      <c r="AA16"/>
    </row>
    <row r="17" spans="2:27" ht="17" customHeight="1">
      <c r="B17" s="46" t="s">
        <v>37</v>
      </c>
      <c r="D17" s="51"/>
      <c r="E17" s="60"/>
      <c r="F17" s="195">
        <v>1</v>
      </c>
      <c r="G17" s="193">
        <f>SLOPE(H42:H100,$E$42:$E$100)</f>
        <v>1.1426533486093871</v>
      </c>
      <c r="H17" s="193">
        <f>SLOPE(M42:M100,$E$42:$E$100)</f>
        <v>1.1848108377195834</v>
      </c>
      <c r="I17" s="193">
        <f>SLOPE(R42:R100,$E$42:$E$100)</f>
        <v>0.65975158873433015</v>
      </c>
      <c r="J17" s="193">
        <f>SLOPE(W42:W100,$E$42:$E$100)</f>
        <v>1.7159450045145443</v>
      </c>
      <c r="K17" s="193">
        <f>SLOPE(AB42:AB100,$E$42:$E$100)</f>
        <v>1.2999021188742133</v>
      </c>
      <c r="L17" s="193">
        <f>SLOPE(AG42:AG100,$E$42:$E$100)</f>
        <v>0.98604857090373321</v>
      </c>
      <c r="M17" s="193">
        <f>SLOPE(AL42:AL100,$E$42:$E$100)</f>
        <v>1.0637776368923129</v>
      </c>
      <c r="Q17" s="150"/>
      <c r="R17" s="151" t="s">
        <v>33</v>
      </c>
      <c r="S17" s="271" t="str">
        <f t="shared" ref="S17:Y17" si="6">S6</f>
        <v>ACWI</v>
      </c>
      <c r="T17" s="267" t="str">
        <f t="shared" si="6"/>
        <v>PWR</v>
      </c>
      <c r="U17" s="267" t="str">
        <f t="shared" si="6"/>
        <v>ETN</v>
      </c>
      <c r="V17" s="267" t="str">
        <f t="shared" si="6"/>
        <v>AEP</v>
      </c>
      <c r="W17" s="267" t="str">
        <f t="shared" si="6"/>
        <v>SBGSY</v>
      </c>
      <c r="X17" s="267" t="str">
        <f t="shared" si="6"/>
        <v>NVT</v>
      </c>
      <c r="Y17" s="267" t="str">
        <f t="shared" si="6"/>
        <v>HUBB</v>
      </c>
      <c r="Z17" s="267" t="str">
        <f t="shared" ref="Z17" si="7">Z6</f>
        <v>MLI</v>
      </c>
      <c r="AA17"/>
    </row>
    <row r="18" spans="2:27" ht="17" customHeight="1">
      <c r="B18" s="46" t="s">
        <v>38</v>
      </c>
      <c r="D18" s="51"/>
      <c r="E18" s="60"/>
      <c r="F18" s="195">
        <v>1</v>
      </c>
      <c r="G18" s="193">
        <f>CORREL($E$42:$E$100,H$42:H$100)</f>
        <v>0.54644867460457658</v>
      </c>
      <c r="H18" s="193">
        <f>CORREL($E$42:$E$100,M$42:M$100)</f>
        <v>0.65154134048304602</v>
      </c>
      <c r="I18" s="193">
        <f>CORREL($E$42:$E$100,R$42:R$100)</f>
        <v>0.51849963614554084</v>
      </c>
      <c r="J18" s="193">
        <f>CORREL($E$42:$E$100,W$42:W$100)</f>
        <v>0.83708700792465596</v>
      </c>
      <c r="K18" s="193">
        <f>CORREL($E$42:$E$100,AB$42:AB$100)</f>
        <v>0.64826514457479079</v>
      </c>
      <c r="L18" s="193">
        <f>CORREL($E$42:$E$100,AG$42:AG$100)</f>
        <v>0.53259562226587087</v>
      </c>
      <c r="M18" s="193">
        <f>CORREL($E$42:$E$100,AL$42:AL$100)</f>
        <v>0.51438428419368343</v>
      </c>
      <c r="N18" s="48">
        <f>CORREL($E$42:$E$100,AS$42:AS$100)</f>
        <v>0.64189949403838842</v>
      </c>
      <c r="R18" s="144" t="s">
        <v>196</v>
      </c>
      <c r="S18" s="49">
        <f>F8^2</f>
        <v>2.2412865119501486E-2</v>
      </c>
      <c r="T18" s="50"/>
      <c r="U18" s="50"/>
      <c r="V18" s="50"/>
      <c r="W18" s="50"/>
      <c r="X18" s="50"/>
      <c r="AA18"/>
    </row>
    <row r="19" spans="2:27" ht="17" customHeight="1">
      <c r="B19" s="46" t="s">
        <v>39</v>
      </c>
      <c r="D19" s="51"/>
      <c r="E19" s="60"/>
      <c r="F19" s="195">
        <v>1</v>
      </c>
      <c r="G19" s="193">
        <f>G18^2</f>
        <v>0.29860615397709844</v>
      </c>
      <c r="H19" s="193">
        <f t="shared" ref="H19:L19" si="8">H18^2</f>
        <v>0.42450611835844448</v>
      </c>
      <c r="I19" s="193">
        <f t="shared" si="8"/>
        <v>0.26884187268305826</v>
      </c>
      <c r="J19" s="193">
        <f t="shared" si="8"/>
        <v>0.70071465883625306</v>
      </c>
      <c r="K19" s="193">
        <f t="shared" si="8"/>
        <v>0.4202476976705744</v>
      </c>
      <c r="L19" s="193">
        <f t="shared" si="8"/>
        <v>0.28365809685677018</v>
      </c>
      <c r="M19" s="193">
        <f t="shared" ref="M19:N19" si="9">M18^2</f>
        <v>0.2645911918254481</v>
      </c>
      <c r="R19" s="145" t="str">
        <f>T17</f>
        <v>PWR</v>
      </c>
      <c r="S19" s="52">
        <f>G17*S18</f>
        <v>2.5610135380728902E-2</v>
      </c>
      <c r="T19" s="52">
        <f>G8^2</f>
        <v>9.8000347820607681E-2</v>
      </c>
      <c r="U19" s="53"/>
      <c r="V19" s="53"/>
      <c r="W19" s="53"/>
      <c r="X19" s="53"/>
      <c r="AA19"/>
    </row>
    <row r="20" spans="2:27" ht="18">
      <c r="B20" s="54" t="s">
        <v>40</v>
      </c>
      <c r="C20" s="63"/>
      <c r="D20" s="64"/>
      <c r="E20" s="56"/>
      <c r="F20" s="196">
        <v>0</v>
      </c>
      <c r="G20" s="194">
        <f>1-G19</f>
        <v>0.70139384602290156</v>
      </c>
      <c r="H20" s="194">
        <f t="shared" ref="H20:K20" si="10">1-H19</f>
        <v>0.57549388164155557</v>
      </c>
      <c r="I20" s="194">
        <f t="shared" si="10"/>
        <v>0.73115812731694174</v>
      </c>
      <c r="J20" s="194">
        <f t="shared" si="10"/>
        <v>0.29928534116374694</v>
      </c>
      <c r="K20" s="194">
        <f t="shared" si="10"/>
        <v>0.57975230232942554</v>
      </c>
      <c r="L20" s="193">
        <f>1-L19</f>
        <v>0.71634190314322987</v>
      </c>
      <c r="M20" s="262">
        <f t="shared" ref="M20:N20" si="11">1-M19</f>
        <v>0.7354088081745519</v>
      </c>
      <c r="R20" s="145" t="str">
        <f>U17</f>
        <v>ETN</v>
      </c>
      <c r="S20" s="52">
        <f>$H$17*$S$18</f>
        <v>2.6555005497932587E-2</v>
      </c>
      <c r="T20" s="52">
        <f>$H$17*G17*$S$18</f>
        <v>3.0343165954553351E-2</v>
      </c>
      <c r="U20" s="52">
        <f>H8^2</f>
        <v>7.4115912466277342E-2</v>
      </c>
      <c r="V20" s="53"/>
      <c r="W20" s="53"/>
      <c r="X20" s="53"/>
      <c r="AA20"/>
    </row>
    <row r="21" spans="2:27">
      <c r="B21" s="46" t="s">
        <v>155</v>
      </c>
      <c r="C21" s="46" t="s">
        <v>149</v>
      </c>
      <c r="D21" s="188"/>
      <c r="F21" s="285" t="s">
        <v>153</v>
      </c>
      <c r="G21" s="206" t="s">
        <v>151</v>
      </c>
      <c r="H21" s="206" t="s">
        <v>151</v>
      </c>
      <c r="I21" s="206" t="s">
        <v>225</v>
      </c>
      <c r="J21" s="206" t="s">
        <v>151</v>
      </c>
      <c r="K21" s="206" t="s">
        <v>151</v>
      </c>
      <c r="L21" s="263" t="s">
        <v>151</v>
      </c>
      <c r="M21" s="263" t="s">
        <v>151</v>
      </c>
      <c r="N21" s="185" t="s">
        <v>158</v>
      </c>
      <c r="O21" s="185"/>
      <c r="R21" s="145" t="str">
        <f>V17</f>
        <v>AEP</v>
      </c>
      <c r="S21" s="61">
        <f>$I$17*$S$18</f>
        <v>1.4786923370679357E-2</v>
      </c>
      <c r="T21" s="61">
        <f>$I$17*G17*$S$18</f>
        <v>1.6896327505137171E-2</v>
      </c>
      <c r="U21" s="61">
        <f>$I$17*H17*$S$18</f>
        <v>1.7519707066109894E-2</v>
      </c>
      <c r="V21" s="61">
        <f>I8^2</f>
        <v>3.6287859807462512E-2</v>
      </c>
      <c r="W21" s="62"/>
      <c r="X21" s="62"/>
      <c r="AA21"/>
    </row>
    <row r="22" spans="2:27">
      <c r="C22" s="46" t="s">
        <v>148</v>
      </c>
      <c r="D22" s="189"/>
      <c r="F22" s="286"/>
      <c r="G22" s="206" t="s">
        <v>152</v>
      </c>
      <c r="H22" s="206" t="s">
        <v>152</v>
      </c>
      <c r="I22" s="206" t="s">
        <v>152</v>
      </c>
      <c r="J22" s="206" t="s">
        <v>152</v>
      </c>
      <c r="K22" s="206" t="s">
        <v>226</v>
      </c>
      <c r="L22" s="264" t="s">
        <v>152</v>
      </c>
      <c r="M22" s="206" t="s">
        <v>226</v>
      </c>
      <c r="N22" s="185" t="s">
        <v>159</v>
      </c>
      <c r="O22" s="185"/>
      <c r="R22" s="145" t="str">
        <f>W17</f>
        <v>SBGSY</v>
      </c>
      <c r="S22" s="182">
        <f>$J$17*$S$18</f>
        <v>3.845924393866685E-2</v>
      </c>
      <c r="T22" s="52">
        <f>$J$17*$S$18*G17</f>
        <v>4.394558387150295E-2</v>
      </c>
      <c r="U22" s="52">
        <f>$J$17*$S$18*H17</f>
        <v>4.5566929029033677E-2</v>
      </c>
      <c r="V22" s="52">
        <f>$J$17*$S$18*I17</f>
        <v>2.537354729005661E-2</v>
      </c>
      <c r="W22" s="52">
        <f>J8^2</f>
        <v>9.418091470151968E-2</v>
      </c>
      <c r="X22" s="53"/>
      <c r="AA22"/>
    </row>
    <row r="23" spans="2:27">
      <c r="C23" s="46" t="s">
        <v>156</v>
      </c>
      <c r="D23" s="51"/>
      <c r="F23" s="286"/>
      <c r="G23" s="206" t="s">
        <v>201</v>
      </c>
      <c r="H23" s="206" t="s">
        <v>206</v>
      </c>
      <c r="I23" s="206" t="s">
        <v>206</v>
      </c>
      <c r="J23" s="206" t="s">
        <v>201</v>
      </c>
      <c r="K23" s="206" t="s">
        <v>201</v>
      </c>
      <c r="L23" s="206" t="s">
        <v>206</v>
      </c>
      <c r="M23" s="206" t="s">
        <v>201</v>
      </c>
      <c r="N23" s="185" t="s">
        <v>160</v>
      </c>
      <c r="O23" s="185"/>
      <c r="R23" s="145" t="str">
        <f>X17</f>
        <v>NVT</v>
      </c>
      <c r="S23" s="182">
        <f>$K$17*$S$18</f>
        <v>2.913453085888193E-2</v>
      </c>
      <c r="T23" s="52">
        <f>$K$17*$S$18*G17</f>
        <v>3.3290669246064955E-2</v>
      </c>
      <c r="U23" s="52">
        <f>$K$17*$S$18*H17</f>
        <v>3.4518907913478954E-2</v>
      </c>
      <c r="V23" s="52">
        <f>$K$17*$S$18*I17</f>
        <v>1.9221553021176722E-2</v>
      </c>
      <c r="W23" s="52">
        <f>$K$17*$S$18*J17</f>
        <v>4.9993252686173287E-2</v>
      </c>
      <c r="X23" s="52">
        <f>K8^2</f>
        <v>9.0118372107190092E-2</v>
      </c>
      <c r="AA23"/>
    </row>
    <row r="24" spans="2:27">
      <c r="B24" s="37"/>
      <c r="C24" s="46" t="s">
        <v>157</v>
      </c>
      <c r="D24" s="190"/>
      <c r="E24" s="37"/>
      <c r="F24" s="287"/>
      <c r="G24" s="207" t="s">
        <v>150</v>
      </c>
      <c r="H24" s="207" t="s">
        <v>207</v>
      </c>
      <c r="I24" s="207" t="s">
        <v>207</v>
      </c>
      <c r="J24" s="207" t="s">
        <v>227</v>
      </c>
      <c r="K24" s="207" t="s">
        <v>207</v>
      </c>
      <c r="L24" s="265" t="s">
        <v>207</v>
      </c>
      <c r="M24" s="265" t="s">
        <v>228</v>
      </c>
      <c r="N24" s="185" t="s">
        <v>161</v>
      </c>
      <c r="O24" s="185"/>
      <c r="R24" s="145" t="str">
        <f>Y6</f>
        <v>HUBB</v>
      </c>
      <c r="S24" s="268">
        <f>$S$18*L17</f>
        <v>2.2100173620942569E-2</v>
      </c>
      <c r="T24" s="52">
        <f>$L$17*$S$18*G17</f>
        <v>2.5252837392818868E-2</v>
      </c>
      <c r="U24" s="52">
        <f>$L$17*$S$18*H17</f>
        <v>2.6184525221577205E-2</v>
      </c>
      <c r="V24" s="52">
        <f>$L$17*$S$18*I17</f>
        <v>1.4580624657721393E-2</v>
      </c>
      <c r="W24" s="52">
        <f>$L$17*$S$18*J17</f>
        <v>3.7922682523760513E-2</v>
      </c>
      <c r="X24" s="52">
        <f>$L$17*$S$18*K17</f>
        <v>2.872806251735124E-2</v>
      </c>
      <c r="Y24" s="52">
        <f>L8^2</f>
        <v>7.6824334849353276E-2</v>
      </c>
      <c r="AA24"/>
    </row>
    <row r="25" spans="2:27">
      <c r="B25" s="46" t="s">
        <v>154</v>
      </c>
      <c r="C25" s="47" t="s">
        <v>202</v>
      </c>
      <c r="D25" s="65"/>
      <c r="E25" s="181"/>
      <c r="F25" s="195">
        <v>148.80000000000001</v>
      </c>
      <c r="G25" s="193">
        <v>585.36</v>
      </c>
      <c r="H25" s="193">
        <v>395</v>
      </c>
      <c r="I25" s="193">
        <v>131.5</v>
      </c>
      <c r="J25" s="193">
        <f>62.15</f>
        <v>62.15</v>
      </c>
      <c r="K25" s="193">
        <v>131.38</v>
      </c>
      <c r="L25" s="193">
        <v>526.94000000000005</v>
      </c>
      <c r="M25" s="193">
        <v>118.25</v>
      </c>
      <c r="N25"/>
      <c r="R25" s="145" t="str">
        <f>Z17</f>
        <v>MLI</v>
      </c>
      <c r="S25" s="268">
        <f>$S$18*M17</f>
        <v>2.3842304692809436E-2</v>
      </c>
      <c r="T25" s="52">
        <f>$M$17*$S$18*G17</f>
        <v>2.7243489295804005E-2</v>
      </c>
      <c r="U25" s="52">
        <f>$M$17*$S$18*H17</f>
        <v>2.8248620996253103E-2</v>
      </c>
      <c r="V25" s="52">
        <f>$M$17*$S$18*I17</f>
        <v>1.5729998400169001E-2</v>
      </c>
      <c r="W25" s="52">
        <f>$M$17*$S$18*J17</f>
        <v>4.0912083633740028E-2</v>
      </c>
      <c r="X25" s="52">
        <f>$M$17*$S$18*K17</f>
        <v>3.0992662389027585E-2</v>
      </c>
      <c r="Y25" s="52">
        <f>$M$17*$S$18*L17</f>
        <v>2.3509670469396116E-2</v>
      </c>
      <c r="Z25" s="52">
        <f>M8^2</f>
        <v>9.5856972294509846E-2</v>
      </c>
      <c r="AA25"/>
    </row>
    <row r="26" spans="2:27">
      <c r="C26" s="46" t="s">
        <v>42</v>
      </c>
      <c r="D26" s="51"/>
      <c r="E26" s="181"/>
      <c r="F26" s="193"/>
      <c r="G26" s="193">
        <v>10.75</v>
      </c>
      <c r="H26" s="193">
        <v>10.53</v>
      </c>
      <c r="I26" s="193">
        <v>5.35</v>
      </c>
      <c r="J26" s="193">
        <v>1.65</v>
      </c>
      <c r="K26" s="193">
        <v>2.6</v>
      </c>
      <c r="L26" s="193">
        <v>15.8</v>
      </c>
      <c r="M26" s="193">
        <v>6.54</v>
      </c>
      <c r="N26"/>
      <c r="Q26"/>
      <c r="R26"/>
      <c r="S26"/>
      <c r="T26"/>
      <c r="U26"/>
      <c r="V26"/>
      <c r="W26"/>
      <c r="X26"/>
      <c r="Y26"/>
      <c r="Z26"/>
      <c r="AA26"/>
    </row>
    <row r="27" spans="2:27">
      <c r="B27" s="261">
        <v>22.1</v>
      </c>
      <c r="C27" s="46" t="s">
        <v>43</v>
      </c>
      <c r="F27" s="193">
        <v>17.12</v>
      </c>
      <c r="G27" s="193">
        <f t="shared" ref="G27:L27" si="12">G25/G26</f>
        <v>54.452093023255813</v>
      </c>
      <c r="H27" s="193">
        <f t="shared" si="12"/>
        <v>37.511870845204179</v>
      </c>
      <c r="I27" s="193">
        <f t="shared" si="12"/>
        <v>24.579439252336449</v>
      </c>
      <c r="J27" s="193">
        <f t="shared" si="12"/>
        <v>37.666666666666664</v>
      </c>
      <c r="K27" s="193">
        <f t="shared" si="12"/>
        <v>50.530769230769231</v>
      </c>
      <c r="L27" s="193">
        <f t="shared" si="12"/>
        <v>33.35063291139241</v>
      </c>
      <c r="M27" s="193">
        <f t="shared" ref="M27:N27" si="13">M25/M26</f>
        <v>18.081039755351682</v>
      </c>
      <c r="N27"/>
      <c r="AA27"/>
    </row>
    <row r="28" spans="2:27" ht="18">
      <c r="C28" s="46" t="s">
        <v>44</v>
      </c>
      <c r="D28" s="51"/>
      <c r="E28" s="181"/>
      <c r="F28" s="193"/>
      <c r="G28" s="193">
        <v>0.36</v>
      </c>
      <c r="H28" s="193">
        <v>4.08</v>
      </c>
      <c r="I28" s="193">
        <v>3.8</v>
      </c>
      <c r="J28" s="193">
        <v>0.56999999999999995</v>
      </c>
      <c r="K28" s="193">
        <v>0.84</v>
      </c>
      <c r="L28" s="193">
        <v>4.88</v>
      </c>
      <c r="M28" s="193">
        <v>0.8</v>
      </c>
      <c r="N28"/>
      <c r="Q28" s="152"/>
      <c r="R28" s="151" t="s">
        <v>41</v>
      </c>
      <c r="S28" s="303" t="str">
        <f t="shared" ref="S28:Z28" si="14">S6</f>
        <v>ACWI</v>
      </c>
      <c r="T28" s="269" t="str">
        <f t="shared" si="14"/>
        <v>PWR</v>
      </c>
      <c r="U28" s="269" t="str">
        <f t="shared" si="14"/>
        <v>ETN</v>
      </c>
      <c r="V28" s="269" t="str">
        <f t="shared" si="14"/>
        <v>AEP</v>
      </c>
      <c r="W28" s="269" t="str">
        <f t="shared" si="14"/>
        <v>SBGSY</v>
      </c>
      <c r="X28" s="269" t="str">
        <f t="shared" si="14"/>
        <v>NVT</v>
      </c>
      <c r="Y28" s="269" t="str">
        <f t="shared" si="14"/>
        <v>HUBB</v>
      </c>
      <c r="Z28" s="269" t="str">
        <f t="shared" si="14"/>
        <v>MLI</v>
      </c>
      <c r="AA28"/>
    </row>
    <row r="29" spans="2:27" ht="17">
      <c r="C29" s="46" t="s">
        <v>45</v>
      </c>
      <c r="D29" s="51"/>
      <c r="F29" s="200"/>
      <c r="G29" s="208">
        <f>G28/G25</f>
        <v>6.1500615006150052E-4</v>
      </c>
      <c r="H29" s="208">
        <f>H28/H25</f>
        <v>1.0329113924050634E-2</v>
      </c>
      <c r="I29" s="208">
        <f>I28/I25</f>
        <v>2.8897338403041824E-2</v>
      </c>
      <c r="J29" s="208">
        <f>J28/J25</f>
        <v>9.17135961383749E-3</v>
      </c>
      <c r="K29" s="208">
        <f>K28/K25</f>
        <v>6.3936672248439642E-3</v>
      </c>
      <c r="L29" s="208">
        <f t="shared" ref="L29:N29" si="15">L28/L25</f>
        <v>9.2610164345086707E-3</v>
      </c>
      <c r="M29" s="208">
        <f t="shared" si="15"/>
        <v>6.7653276955602542E-3</v>
      </c>
      <c r="N29"/>
      <c r="R29" s="144" t="s">
        <v>31</v>
      </c>
      <c r="S29" s="59"/>
      <c r="T29" s="50"/>
      <c r="U29" s="50"/>
      <c r="V29" s="50"/>
      <c r="W29" s="50"/>
      <c r="X29" s="50"/>
      <c r="AA29"/>
    </row>
    <row r="30" spans="2:27">
      <c r="C30" s="46" t="s">
        <v>147</v>
      </c>
      <c r="D30" s="51"/>
      <c r="F30" s="200"/>
      <c r="G30" s="200">
        <v>593.29999999999995</v>
      </c>
      <c r="H30" s="200">
        <v>404.62</v>
      </c>
      <c r="I30" s="200">
        <v>136.81</v>
      </c>
      <c r="J30" s="200">
        <v>65.099999999999994</v>
      </c>
      <c r="K30" s="200">
        <v>148.31</v>
      </c>
      <c r="L30" s="200">
        <v>445.5</v>
      </c>
      <c r="M30" s="200">
        <v>142.80000000000001</v>
      </c>
      <c r="N30"/>
      <c r="R30" s="145" t="str">
        <f>T28</f>
        <v>PWR</v>
      </c>
      <c r="S30" s="53"/>
      <c r="T30" s="52">
        <v>1</v>
      </c>
      <c r="U30" s="53"/>
      <c r="V30" s="53"/>
      <c r="W30" s="53"/>
      <c r="X30" s="53"/>
      <c r="Y30" s="58"/>
      <c r="AA30"/>
    </row>
    <row r="31" spans="2:27">
      <c r="C31" s="54" t="s">
        <v>146</v>
      </c>
      <c r="D31" s="55"/>
      <c r="E31" s="37"/>
      <c r="F31" s="201"/>
      <c r="G31" s="209">
        <f>G30/G25-1</f>
        <v>1.3564302309689635E-2</v>
      </c>
      <c r="H31" s="209">
        <f>H30/H25-1</f>
        <v>2.4354430379746939E-2</v>
      </c>
      <c r="I31" s="209">
        <f>I30/I25-1</f>
        <v>4.0380228136882135E-2</v>
      </c>
      <c r="J31" s="209">
        <f>J30/J25-1</f>
        <v>4.7465808527755282E-2</v>
      </c>
      <c r="K31" s="209">
        <f>K30/K25-1</f>
        <v>0.12886284061500985</v>
      </c>
      <c r="L31" s="209">
        <f t="shared" ref="L31:N31" si="16">L30/L25-1</f>
        <v>-0.15455270049721037</v>
      </c>
      <c r="M31" s="209">
        <f t="shared" si="16"/>
        <v>0.20761099365750546</v>
      </c>
      <c r="N31"/>
      <c r="R31" s="145" t="str">
        <f>U28</f>
        <v>ETN</v>
      </c>
      <c r="S31" s="53"/>
      <c r="T31" s="52">
        <f>CORREL(J42:J100,O42:O100)</f>
        <v>0.4846927394139029</v>
      </c>
      <c r="U31" s="52">
        <v>1</v>
      </c>
      <c r="V31" s="53"/>
      <c r="W31" s="53"/>
      <c r="X31" s="53"/>
      <c r="Y31" s="58"/>
      <c r="AA31"/>
    </row>
    <row r="32" spans="2:27">
      <c r="B32" s="187" t="s">
        <v>87</v>
      </c>
      <c r="C32" s="44"/>
      <c r="D32" s="44"/>
      <c r="E32" s="44"/>
      <c r="F32" s="202">
        <f>'Security Allocation'!D62</f>
        <v>0</v>
      </c>
      <c r="G32" s="256">
        <f>'Security Allocation'!F62</f>
        <v>0.13992865036955976</v>
      </c>
      <c r="H32" s="256">
        <f>'Security Allocation'!G62</f>
        <v>0.14573510946543553</v>
      </c>
      <c r="I32" s="256">
        <f>'Security Allocation'!H62</f>
        <v>1.8882010575284075E-2</v>
      </c>
      <c r="J32" s="256">
        <f>'Security Allocation'!I62</f>
        <v>0.23390145481079219</v>
      </c>
      <c r="K32" s="256">
        <f>'Security Allocation'!J62</f>
        <v>0.17748442710411236</v>
      </c>
      <c r="L32" s="256">
        <f>'Security Allocation'!K62</f>
        <v>7.3291439682142773E-2</v>
      </c>
      <c r="M32" s="256">
        <f>'Security Allocation'!L62</f>
        <v>0.21077690799267315</v>
      </c>
      <c r="N32"/>
      <c r="R32" s="145" t="str">
        <f>V28</f>
        <v>AEP</v>
      </c>
      <c r="S32" s="62"/>
      <c r="T32" s="52">
        <f>CORREL(J42:J100,T42:T100)</f>
        <v>-0.30579046959488837</v>
      </c>
      <c r="U32" s="52">
        <f>CORREL(O42:O100,T42:T100)</f>
        <v>-0.79932470394808597</v>
      </c>
      <c r="V32" s="61">
        <v>1</v>
      </c>
      <c r="W32" s="62"/>
      <c r="X32" s="62"/>
      <c r="Y32" s="58"/>
      <c r="AA32"/>
    </row>
    <row r="33" spans="2:47">
      <c r="N33"/>
      <c r="O33" s="186"/>
      <c r="P33" s="53"/>
      <c r="R33" s="145" t="str">
        <f>W28</f>
        <v>SBGSY</v>
      </c>
      <c r="S33" s="53"/>
      <c r="T33" s="52">
        <f>CORREL(J42:J100,Y42:Y100)</f>
        <v>0.29144100287875302</v>
      </c>
      <c r="U33" s="52">
        <f>CORREL(O42:O100,Y42:Y100)</f>
        <v>0.35585520989917208</v>
      </c>
      <c r="V33" s="52">
        <f>CORREL(T42:T100,Y42:Y100)</f>
        <v>-0.2790968883113481</v>
      </c>
      <c r="W33" s="52">
        <v>1</v>
      </c>
      <c r="X33" s="53"/>
      <c r="Y33" s="58"/>
      <c r="AA33"/>
    </row>
    <row r="34" spans="2:47">
      <c r="O34" s="186"/>
      <c r="P34" s="53"/>
      <c r="R34" s="145" t="str">
        <f>X28</f>
        <v>NVT</v>
      </c>
      <c r="S34" s="53"/>
      <c r="T34" s="52">
        <f>CORREL(J42:J100,AD42:AD100)</f>
        <v>0.40668987077818641</v>
      </c>
      <c r="U34" s="52">
        <f>CORREL(O42:O100,AD42:AD100)</f>
        <v>0.61548093617299349</v>
      </c>
      <c r="V34" s="52">
        <f>CORREL(T42:T100,AD42:AD100)</f>
        <v>-0.55455838272824698</v>
      </c>
      <c r="W34" s="52">
        <f>CORREL(Y42:Y100,AD42:AD100)</f>
        <v>0.11064935346370712</v>
      </c>
      <c r="X34" s="52">
        <v>1</v>
      </c>
      <c r="Y34" s="58"/>
      <c r="AA34"/>
    </row>
    <row r="35" spans="2:47">
      <c r="O35" s="186"/>
      <c r="P35" s="53"/>
      <c r="R35" s="270" t="str">
        <f>Y28</f>
        <v>HUBB</v>
      </c>
      <c r="S35" s="53"/>
      <c r="T35" s="52">
        <f>CORREL($J$42:$J$100,AI42:AI100)</f>
        <v>-0.69696713915349118</v>
      </c>
      <c r="U35" s="52">
        <f>CORREL($O$42:$O$100,AI42:AI100)</f>
        <v>-1.7644132633676049E-2</v>
      </c>
      <c r="V35" s="52">
        <f>CORREL($T$42:$T$100,AI42:AI100)</f>
        <v>7.091941897315214E-2</v>
      </c>
      <c r="W35" s="52">
        <f>CORREL($Y$42:$Y$100,AI42:AI100)</f>
        <v>-8.7612789760530538E-2</v>
      </c>
      <c r="X35" s="52">
        <f>CORREL($AD$42:$AD$100,AI42:AI100)</f>
        <v>3.7089587672419059E-3</v>
      </c>
      <c r="Y35" s="52">
        <v>1</v>
      </c>
      <c r="AA35"/>
    </row>
    <row r="36" spans="2:47">
      <c r="O36" s="186"/>
      <c r="P36" s="53"/>
      <c r="R36" s="270" t="str">
        <f>Z28</f>
        <v>MLI</v>
      </c>
      <c r="S36" s="53"/>
      <c r="T36" s="52">
        <f>CORREL($J$42:$J$100,AN42:AN100)</f>
        <v>-0.35025617505238577</v>
      </c>
      <c r="U36" s="52">
        <f>CORREL($O$42:$O$100,AN42:AN100)</f>
        <v>-0.58850792937584884</v>
      </c>
      <c r="V36" s="52">
        <f>CORREL($T$42:$T$100,AN42:AN100)</f>
        <v>0.59472053763389698</v>
      </c>
      <c r="W36" s="52">
        <f>CORREL($Y$42:$Y$100,AN42:AN100)</f>
        <v>-0.2796765561697892</v>
      </c>
      <c r="X36" s="52">
        <f>CORREL(AD42:AD100,$AN$42:$AN$100)</f>
        <v>-0.23607942799947365</v>
      </c>
      <c r="Y36" s="52">
        <f>CORREL(AI42:AI100,AN42:AN100)</f>
        <v>0.36085479151030814</v>
      </c>
      <c r="Z36" s="52">
        <v>1</v>
      </c>
      <c r="AA36"/>
    </row>
    <row r="37" spans="2:47" ht="23">
      <c r="B37" s="34" t="s">
        <v>46</v>
      </c>
      <c r="C37" s="35"/>
      <c r="D37" s="35"/>
      <c r="E37" s="35"/>
      <c r="Q37"/>
      <c r="R37"/>
      <c r="S37"/>
      <c r="T37"/>
      <c r="U37"/>
      <c r="V37"/>
      <c r="W37"/>
      <c r="X37"/>
      <c r="Y37"/>
      <c r="Z37"/>
      <c r="AA37"/>
    </row>
    <row r="38" spans="2:47" ht="1" customHeight="1">
      <c r="B38" s="35"/>
      <c r="C38" s="35"/>
      <c r="D38" s="35"/>
      <c r="E38" s="35"/>
      <c r="R38" s="272"/>
      <c r="S38" s="53"/>
      <c r="T38" s="52" t="e">
        <f>CORREL($J$42:$J$100,AI45:AI104)</f>
        <v>#N/A</v>
      </c>
      <c r="U38" s="52"/>
      <c r="V38" s="52"/>
      <c r="W38" s="52"/>
      <c r="X38" s="52"/>
      <c r="Y38" s="52" t="e">
        <f>CORREL(AI43:AI102,#REF!)</f>
        <v>#REF!</v>
      </c>
      <c r="Z38" s="52" t="e">
        <f>CORREL(AJ43:AJ103,AO43:AO101)</f>
        <v>#N/A</v>
      </c>
      <c r="AA38" s="67"/>
    </row>
    <row r="39" spans="2:47" ht="32" customHeight="1">
      <c r="B39" s="68" t="s">
        <v>47</v>
      </c>
      <c r="C39" s="290" t="s">
        <v>222</v>
      </c>
      <c r="D39" s="291"/>
      <c r="E39" s="292"/>
      <c r="F39" s="289" t="s">
        <v>197</v>
      </c>
      <c r="G39" s="288"/>
      <c r="H39" s="288"/>
      <c r="I39" s="288"/>
      <c r="J39" s="293"/>
      <c r="K39" s="289" t="s">
        <v>210</v>
      </c>
      <c r="L39" s="288"/>
      <c r="M39" s="288"/>
      <c r="N39" s="288"/>
      <c r="O39" s="293"/>
      <c r="P39" s="289" t="s">
        <v>204</v>
      </c>
      <c r="Q39" s="288"/>
      <c r="R39" s="288"/>
      <c r="S39" s="288"/>
      <c r="T39" s="293"/>
      <c r="U39" s="289" t="s">
        <v>199</v>
      </c>
      <c r="V39" s="288"/>
      <c r="W39" s="288"/>
      <c r="X39" s="288"/>
      <c r="Y39" s="293"/>
      <c r="Z39" s="288" t="s">
        <v>219</v>
      </c>
      <c r="AA39" s="288"/>
      <c r="AB39" s="288"/>
      <c r="AC39" s="288"/>
      <c r="AD39" s="288"/>
      <c r="AE39" s="288" t="s">
        <v>223</v>
      </c>
      <c r="AF39" s="288"/>
      <c r="AG39" s="288"/>
      <c r="AH39" s="288"/>
      <c r="AI39" s="293"/>
      <c r="AJ39" s="289" t="s">
        <v>224</v>
      </c>
      <c r="AK39" s="288"/>
      <c r="AL39" s="288"/>
      <c r="AM39" s="288"/>
      <c r="AN39" s="293"/>
      <c r="AO39" s="288" t="s">
        <v>86</v>
      </c>
      <c r="AP39" s="293"/>
      <c r="AQ39" s="289" t="s">
        <v>212</v>
      </c>
      <c r="AR39" s="288"/>
      <c r="AS39" s="288"/>
      <c r="AU39" s="243" t="s">
        <v>189</v>
      </c>
    </row>
    <row r="40" spans="2:47" s="73" customFormat="1" ht="56">
      <c r="B40" s="69" t="s">
        <v>48</v>
      </c>
      <c r="C40" s="70" t="s">
        <v>49</v>
      </c>
      <c r="D40" s="71" t="s">
        <v>50</v>
      </c>
      <c r="E40" s="135" t="s">
        <v>142</v>
      </c>
      <c r="F40" s="70" t="s">
        <v>49</v>
      </c>
      <c r="G40" s="71" t="s">
        <v>50</v>
      </c>
      <c r="H40" s="71" t="s">
        <v>51</v>
      </c>
      <c r="I40" s="71" t="s">
        <v>52</v>
      </c>
      <c r="J40" s="72" t="s">
        <v>53</v>
      </c>
      <c r="K40" s="70" t="s">
        <v>49</v>
      </c>
      <c r="L40" s="71" t="s">
        <v>50</v>
      </c>
      <c r="M40" s="71" t="s">
        <v>51</v>
      </c>
      <c r="N40" s="71" t="s">
        <v>52</v>
      </c>
      <c r="O40" s="72" t="s">
        <v>53</v>
      </c>
      <c r="P40" s="70" t="s">
        <v>49</v>
      </c>
      <c r="Q40" s="71" t="s">
        <v>50</v>
      </c>
      <c r="R40" s="71" t="s">
        <v>51</v>
      </c>
      <c r="S40" s="71" t="s">
        <v>52</v>
      </c>
      <c r="T40" s="72" t="s">
        <v>53</v>
      </c>
      <c r="U40" s="70" t="s">
        <v>49</v>
      </c>
      <c r="V40" s="71" t="s">
        <v>50</v>
      </c>
      <c r="W40" s="71" t="s">
        <v>51</v>
      </c>
      <c r="X40" s="71" t="s">
        <v>52</v>
      </c>
      <c r="Y40" s="72" t="s">
        <v>53</v>
      </c>
      <c r="Z40" s="70" t="s">
        <v>49</v>
      </c>
      <c r="AA40" s="71" t="s">
        <v>50</v>
      </c>
      <c r="AB40" s="71" t="s">
        <v>51</v>
      </c>
      <c r="AC40" s="71" t="s">
        <v>52</v>
      </c>
      <c r="AD40" s="72" t="s">
        <v>53</v>
      </c>
      <c r="AE40" s="70" t="s">
        <v>49</v>
      </c>
      <c r="AF40" s="71" t="s">
        <v>50</v>
      </c>
      <c r="AG40" s="71" t="s">
        <v>51</v>
      </c>
      <c r="AH40" s="71" t="s">
        <v>52</v>
      </c>
      <c r="AI40" s="72" t="s">
        <v>53</v>
      </c>
      <c r="AJ40" s="70" t="s">
        <v>49</v>
      </c>
      <c r="AK40" s="71" t="s">
        <v>50</v>
      </c>
      <c r="AL40" s="71" t="s">
        <v>51</v>
      </c>
      <c r="AM40" s="71" t="s">
        <v>52</v>
      </c>
      <c r="AN40" s="72" t="s">
        <v>53</v>
      </c>
      <c r="AO40" s="248" t="s">
        <v>143</v>
      </c>
      <c r="AP40" s="135" t="s">
        <v>144</v>
      </c>
      <c r="AQ40" s="70" t="s">
        <v>49</v>
      </c>
      <c r="AR40" s="71" t="s">
        <v>50</v>
      </c>
      <c r="AS40" s="71" t="s">
        <v>51</v>
      </c>
      <c r="AU40" s="248" t="s">
        <v>190</v>
      </c>
    </row>
    <row r="41" spans="2:47">
      <c r="B41" s="74">
        <v>44317</v>
      </c>
      <c r="C41" s="75">
        <v>100.65</v>
      </c>
      <c r="D41" s="76"/>
      <c r="E41" s="77"/>
      <c r="F41" s="75">
        <v>95.35</v>
      </c>
      <c r="J41" s="51"/>
      <c r="K41" s="75">
        <v>145.25</v>
      </c>
      <c r="O41" s="51"/>
      <c r="P41" s="282">
        <v>86</v>
      </c>
      <c r="T41" s="51"/>
      <c r="U41" s="178">
        <v>31.74</v>
      </c>
      <c r="Y41" s="51"/>
      <c r="Z41" s="277">
        <v>32.54</v>
      </c>
      <c r="AD41" s="51"/>
      <c r="AE41" s="279">
        <v>190.64</v>
      </c>
      <c r="AI41" s="51"/>
      <c r="AJ41" s="279">
        <v>23.22</v>
      </c>
      <c r="AN41" s="51"/>
      <c r="AO41" s="180">
        <f>C41</f>
        <v>100.65</v>
      </c>
      <c r="AP41" s="77"/>
      <c r="AQ41" s="178">
        <v>138.44</v>
      </c>
      <c r="AR41" s="76"/>
      <c r="AS41" s="76"/>
    </row>
    <row r="42" spans="2:47">
      <c r="B42" s="74">
        <v>44348</v>
      </c>
      <c r="C42" s="75">
        <v>101.19</v>
      </c>
      <c r="D42" s="78">
        <f>C42/C41-1</f>
        <v>5.365126676601939E-3</v>
      </c>
      <c r="E42" s="79">
        <f t="shared" ref="E42:E73" si="17">D42-$E$7/12</f>
        <v>1.2401266766019388E-3</v>
      </c>
      <c r="F42" s="75">
        <v>90.57</v>
      </c>
      <c r="G42" s="78">
        <f>F42/F41-1</f>
        <v>-5.013109596224441E-2</v>
      </c>
      <c r="H42" s="78">
        <f t="shared" ref="H42:H73" si="18">G42-$E$7/12</f>
        <v>-5.4256095962244413E-2</v>
      </c>
      <c r="I42" s="78">
        <f t="shared" ref="I42:I73" si="19">$G$17*E42</f>
        <v>1.4170348997190358E-3</v>
      </c>
      <c r="J42" s="79">
        <f>H42-$G$13/12-I42</f>
        <v>-8.2942479373431355E-2</v>
      </c>
      <c r="K42" s="75">
        <v>148.18</v>
      </c>
      <c r="L42" s="78">
        <f t="shared" ref="L42:L73" si="20">K42/K41-1</f>
        <v>2.017211703958699E-2</v>
      </c>
      <c r="M42" s="78">
        <f t="shared" ref="M42:M73" si="21">L42-$E$7/12</f>
        <v>1.604711703958699E-2</v>
      </c>
      <c r="N42" s="78">
        <f t="shared" ref="N42:N73" si="22">$H$17*E42</f>
        <v>1.4693155265831459E-3</v>
      </c>
      <c r="O42" s="79">
        <f t="shared" ref="O42:O73" si="23">M42-$G$13/12-N42</f>
        <v>-1.2691546998464068E-2</v>
      </c>
      <c r="P42" s="282">
        <v>84.59</v>
      </c>
      <c r="Q42" s="78">
        <f>P42/P41-1</f>
        <v>-1.6395348837209278E-2</v>
      </c>
      <c r="R42" s="78">
        <f t="shared" ref="R42:R73" si="24">Q42-$E$7/12</f>
        <v>-2.0520348837209278E-2</v>
      </c>
      <c r="S42" s="78">
        <f>$I$17*E42</f>
        <v>8.1817554511995393E-4</v>
      </c>
      <c r="T42" s="79">
        <f t="shared" ref="T42:T73" si="25">R42-$I$13/12-S42</f>
        <v>-2.3761389932319445E-2</v>
      </c>
      <c r="U42" s="178">
        <v>31.59</v>
      </c>
      <c r="V42" s="78">
        <f>U42/U41-1</f>
        <v>-4.725897920604849E-3</v>
      </c>
      <c r="W42" s="78">
        <f t="shared" ref="W42:W73" si="26">V42-$E$7/12</f>
        <v>-8.8508979206048492E-3</v>
      </c>
      <c r="X42" s="78">
        <f t="shared" ref="X42:X73" si="27">$J$17*E42</f>
        <v>2.1279891756803208E-3</v>
      </c>
      <c r="Y42" s="79">
        <f t="shared" ref="Y42:Y73" si="28">W42-$J$13/12-X42</f>
        <v>-1.6830730302139392E-2</v>
      </c>
      <c r="Z42" s="277">
        <v>31.24</v>
      </c>
      <c r="AA42" s="78">
        <f>Z42/Z41-1</f>
        <v>-3.9950829748002459E-2</v>
      </c>
      <c r="AB42" s="78">
        <f t="shared" ref="AB42:AB73" si="29">AA42-$E$7/12</f>
        <v>-4.4075829748002462E-2</v>
      </c>
      <c r="AC42" s="78">
        <f t="shared" ref="AC42:AC73" si="30">$K$17*E42</f>
        <v>1.6120432945872965E-3</v>
      </c>
      <c r="AD42" s="79">
        <f t="shared" ref="AD42:AD73" si="31">AB42-$K$13/12-AC42</f>
        <v>-6.4722750263985482E-2</v>
      </c>
      <c r="AE42" s="280">
        <v>186.84</v>
      </c>
      <c r="AF42" s="78">
        <f>AE42/AE41-1</f>
        <v>-1.9932857742341548E-2</v>
      </c>
      <c r="AG42" s="78">
        <f t="shared" ref="AG42" si="32">AF42-$E$7/12</f>
        <v>-2.4057857742341548E-2</v>
      </c>
      <c r="AH42" s="78">
        <f>$K$17*J42</f>
        <v>-0.10781710468220415</v>
      </c>
      <c r="AI42" s="79">
        <f t="shared" ref="AI42" si="33">AG42-$K$13/12-AH42</f>
        <v>6.4724369718466873E-2</v>
      </c>
      <c r="AJ42" s="280">
        <v>21.66</v>
      </c>
      <c r="AK42" s="78">
        <f>AJ42/AJ41-1</f>
        <v>-6.7183462532299676E-2</v>
      </c>
      <c r="AL42" s="78">
        <f t="shared" ref="AL42" si="34">AK42-$E$7/12</f>
        <v>-7.130846253229968E-2</v>
      </c>
      <c r="AM42" s="78">
        <f>$K$17*O42</f>
        <v>-1.6497768835095104E-2</v>
      </c>
      <c r="AN42" s="79">
        <f t="shared" ref="AN42" si="35">AL42-$K$13/12-AM42</f>
        <v>-7.3845570918600306E-2</v>
      </c>
      <c r="AO42" s="179">
        <f t="shared" ref="AO42:AO73" si="36">AO41*(1+AP42)</f>
        <v>97.396262998536926</v>
      </c>
      <c r="AP42" s="79">
        <f>$F$32*E42+$G$32*H42+$H$32*M42+$I$32*R42+$J$32*W42+$K$32*AB42+$L$32*AG42+$M$32*AL42</f>
        <v>-3.2327242935549824E-2</v>
      </c>
      <c r="AQ42" s="178">
        <v>144.35</v>
      </c>
      <c r="AR42" s="78">
        <f>AQ42/AQ41-1</f>
        <v>4.2689973995954977E-2</v>
      </c>
      <c r="AS42" s="78">
        <f t="shared" ref="AS42:AS100" si="37">AR42-$E$7/12</f>
        <v>3.8564973995954974E-2</v>
      </c>
      <c r="AU42" s="241">
        <f>AP42-E42</f>
        <v>-3.356736961215176E-2</v>
      </c>
    </row>
    <row r="43" spans="2:47">
      <c r="B43" s="74">
        <v>44378</v>
      </c>
      <c r="C43" s="75">
        <v>102.11</v>
      </c>
      <c r="D43" s="78">
        <f t="shared" ref="D43:D99" si="38">C43/C42-1</f>
        <v>9.0918074908588054E-3</v>
      </c>
      <c r="E43" s="79">
        <f t="shared" si="17"/>
        <v>4.9668074908588052E-3</v>
      </c>
      <c r="F43" s="75">
        <v>90.9</v>
      </c>
      <c r="G43" s="78">
        <f t="shared" ref="G43:G100" si="39">F43/F42-1</f>
        <v>3.6435905929117496E-3</v>
      </c>
      <c r="H43" s="78">
        <f t="shared" si="18"/>
        <v>-4.8140940708825061E-4</v>
      </c>
      <c r="I43" s="78">
        <f t="shared" si="19"/>
        <v>5.6753392113280017E-3</v>
      </c>
      <c r="J43" s="79">
        <f t="shared" ref="J43:J73" si="40">H43-$G$13/12-I43</f>
        <v>-3.3426097129884161E-2</v>
      </c>
      <c r="K43" s="75">
        <v>158.05000000000001</v>
      </c>
      <c r="L43" s="78">
        <f t="shared" si="20"/>
        <v>6.6608179241463006E-2</v>
      </c>
      <c r="M43" s="78">
        <f t="shared" si="21"/>
        <v>6.2483179241463002E-2</v>
      </c>
      <c r="N43" s="78">
        <f t="shared" si="22"/>
        <v>5.8847273440363231E-3</v>
      </c>
      <c r="O43" s="79">
        <f t="shared" si="23"/>
        <v>2.9329103385958771E-2</v>
      </c>
      <c r="P43" s="282">
        <v>88.12</v>
      </c>
      <c r="Q43" s="78">
        <f t="shared" ref="Q43:Q100" si="41">P43/P42-1</f>
        <v>4.1730701028490413E-2</v>
      </c>
      <c r="R43" s="78">
        <f t="shared" si="24"/>
        <v>3.760570102849041E-2</v>
      </c>
      <c r="S43" s="78">
        <f t="shared" ref="S43:S74" si="42">$G$17*O43</f>
        <v>3.3512998195676699E-2</v>
      </c>
      <c r="T43" s="79">
        <f t="shared" si="25"/>
        <v>1.6698372828234942E-3</v>
      </c>
      <c r="U43" s="178">
        <v>33.51</v>
      </c>
      <c r="V43" s="78">
        <f t="shared" ref="V43:V100" si="43">U43/U42-1</f>
        <v>6.0778727445394143E-2</v>
      </c>
      <c r="W43" s="78">
        <f t="shared" si="26"/>
        <v>5.6653727445394139E-2</v>
      </c>
      <c r="X43" s="78">
        <f t="shared" si="27"/>
        <v>8.5227685023245847E-3</v>
      </c>
      <c r="Y43" s="79">
        <f t="shared" si="28"/>
        <v>4.2279115737215336E-2</v>
      </c>
      <c r="Z43" s="277">
        <v>31.61</v>
      </c>
      <c r="AA43" s="78">
        <f t="shared" ref="AA43:AA100" si="44">Z43/Z42-1</f>
        <v>1.1843790012804112E-2</v>
      </c>
      <c r="AB43" s="78">
        <f t="shared" si="29"/>
        <v>7.7187900128041116E-3</v>
      </c>
      <c r="AC43" s="78">
        <f t="shared" si="30"/>
        <v>6.4563635814076752E-3</v>
      </c>
      <c r="AD43" s="79">
        <f t="shared" si="31"/>
        <v>-1.7772450789999287E-2</v>
      </c>
      <c r="AE43" s="280">
        <v>200.46</v>
      </c>
      <c r="AF43" s="78">
        <f t="shared" ref="AF43:AF100" si="45">AE43/AE42-1</f>
        <v>7.2896596017983262E-2</v>
      </c>
      <c r="AG43" s="78">
        <f t="shared" ref="AG43:AG100" si="46">AF43-$E$7/12</f>
        <v>6.8771596017983258E-2</v>
      </c>
      <c r="AH43" s="78">
        <f t="shared" ref="AH43:AH100" si="47">$K$17*J43</f>
        <v>-4.345065448483168E-2</v>
      </c>
      <c r="AI43" s="79">
        <f t="shared" ref="AI43:AI100" si="48">AG43-$K$13/12-AH43</f>
        <v>9.3187373281419211E-2</v>
      </c>
      <c r="AJ43" s="280">
        <v>21.7</v>
      </c>
      <c r="AK43" s="78">
        <f t="shared" ref="AK43:AK100" si="49">AJ43/AJ42-1</f>
        <v>1.8467220683286989E-3</v>
      </c>
      <c r="AL43" s="78">
        <f t="shared" ref="AL43:AL100" si="50">AK43-$E$7/12</f>
        <v>-2.2782779316713013E-3</v>
      </c>
      <c r="AM43" s="78">
        <f t="shared" ref="AM43:AM100" si="51">$K$17*O43</f>
        <v>3.8124963636088666E-2</v>
      </c>
      <c r="AN43" s="79">
        <f t="shared" ref="AN43:AN100" si="52">AL43-$K$13/12-AM43</f>
        <v>-5.943811878915569E-2</v>
      </c>
      <c r="AO43" s="179">
        <f t="shared" si="36"/>
        <v>100.21395796744481</v>
      </c>
      <c r="AP43" s="79">
        <f t="shared" ref="AP43:AP100" si="53">$F$32*E43+$G$32*H43+$H$32*M43+$I$32*R43+$J$32*W43+$K$32*AB43+$L$32*AG43+$M$32*AL43</f>
        <v>2.8930216439107266E-2</v>
      </c>
      <c r="AQ43" s="178">
        <v>149.52000000000001</v>
      </c>
      <c r="AR43" s="78">
        <f t="shared" ref="AR43:AR97" si="54">AQ43/AQ42-1</f>
        <v>3.581572566678215E-2</v>
      </c>
      <c r="AS43" s="78">
        <f t="shared" si="37"/>
        <v>3.1690725666782146E-2</v>
      </c>
      <c r="AU43" s="241">
        <f>AP43-E43</f>
        <v>2.3963408948248461E-2</v>
      </c>
    </row>
    <row r="44" spans="2:47">
      <c r="B44" s="74">
        <v>44409</v>
      </c>
      <c r="C44" s="75">
        <v>104.33</v>
      </c>
      <c r="D44" s="78">
        <f t="shared" si="38"/>
        <v>2.174125942610905E-2</v>
      </c>
      <c r="E44" s="79">
        <f t="shared" si="17"/>
        <v>1.761625942610905E-2</v>
      </c>
      <c r="F44" s="75">
        <v>102.1</v>
      </c>
      <c r="G44" s="78">
        <f t="shared" si="39"/>
        <v>0.123212321232123</v>
      </c>
      <c r="H44" s="78">
        <f t="shared" si="18"/>
        <v>0.119087321232123</v>
      </c>
      <c r="I44" s="78">
        <f t="shared" si="19"/>
        <v>2.0129277823215184E-2</v>
      </c>
      <c r="J44" s="79">
        <f t="shared" si="40"/>
        <v>7.1688694897439897E-2</v>
      </c>
      <c r="K44" s="75">
        <v>168.36</v>
      </c>
      <c r="L44" s="78">
        <f t="shared" si="20"/>
        <v>6.5232521354001927E-2</v>
      </c>
      <c r="M44" s="78">
        <f t="shared" si="21"/>
        <v>6.1107521354001923E-2</v>
      </c>
      <c r="N44" s="78">
        <f t="shared" si="22"/>
        <v>2.0871935088133769E-2</v>
      </c>
      <c r="O44" s="79">
        <f t="shared" si="23"/>
        <v>1.2966237754400246E-2</v>
      </c>
      <c r="P44" s="282">
        <v>89.57</v>
      </c>
      <c r="Q44" s="78">
        <f t="shared" si="41"/>
        <v>1.6454834316840472E-2</v>
      </c>
      <c r="R44" s="78">
        <f t="shared" si="24"/>
        <v>1.2329834316840472E-2</v>
      </c>
      <c r="S44" s="78">
        <f t="shared" si="42"/>
        <v>1.48159149889309E-2</v>
      </c>
      <c r="T44" s="79">
        <f t="shared" si="25"/>
        <v>-4.9089462220806412E-3</v>
      </c>
      <c r="U44" s="178">
        <v>35.659999999999997</v>
      </c>
      <c r="V44" s="78">
        <f t="shared" si="43"/>
        <v>6.4159952253058705E-2</v>
      </c>
      <c r="W44" s="78">
        <f t="shared" si="26"/>
        <v>6.0034952253058702E-2</v>
      </c>
      <c r="X44" s="78">
        <f t="shared" si="27"/>
        <v>3.0228532360464078E-2</v>
      </c>
      <c r="Y44" s="79">
        <f t="shared" si="28"/>
        <v>2.3954576686740406E-2</v>
      </c>
      <c r="Z44" s="277">
        <v>34.36</v>
      </c>
      <c r="AA44" s="78">
        <f t="shared" si="44"/>
        <v>8.6997785510914305E-2</v>
      </c>
      <c r="AB44" s="78">
        <f t="shared" si="29"/>
        <v>8.2872785510914301E-2</v>
      </c>
      <c r="AC44" s="78">
        <f t="shared" si="30"/>
        <v>2.2899412954636985E-2</v>
      </c>
      <c r="AD44" s="79">
        <f t="shared" si="31"/>
        <v>4.0938495334881586E-2</v>
      </c>
      <c r="AE44" s="280">
        <v>206.11</v>
      </c>
      <c r="AF44" s="78">
        <f t="shared" si="45"/>
        <v>2.8185174099571109E-2</v>
      </c>
      <c r="AG44" s="78">
        <f t="shared" si="46"/>
        <v>2.4060174099571108E-2</v>
      </c>
      <c r="AH44" s="78">
        <f t="shared" si="47"/>
        <v>9.3188286396509126E-2</v>
      </c>
      <c r="AI44" s="79">
        <f t="shared" si="48"/>
        <v>-8.8162989518333734E-2</v>
      </c>
      <c r="AJ44" s="280">
        <v>22.31</v>
      </c>
      <c r="AK44" s="78">
        <f t="shared" si="49"/>
        <v>2.8110599078341014E-2</v>
      </c>
      <c r="AL44" s="78">
        <f t="shared" si="50"/>
        <v>2.3985599078341014E-2</v>
      </c>
      <c r="AM44" s="78">
        <f t="shared" si="51"/>
        <v>1.6854839930771699E-2</v>
      </c>
      <c r="AN44" s="79">
        <f t="shared" si="52"/>
        <v>-1.1904118073826409E-2</v>
      </c>
      <c r="AO44" s="179">
        <f t="shared" si="36"/>
        <v>106.36428481199479</v>
      </c>
      <c r="AP44" s="79">
        <f t="shared" si="53"/>
        <v>6.1371958251044863E-2</v>
      </c>
      <c r="AQ44" s="178">
        <v>148.83000000000001</v>
      </c>
      <c r="AR44" s="78">
        <f t="shared" si="54"/>
        <v>-4.6147672552167007E-3</v>
      </c>
      <c r="AS44" s="78">
        <f t="shared" si="37"/>
        <v>-8.7397672552167009E-3</v>
      </c>
      <c r="AU44" s="241">
        <f>AP44-E44</f>
        <v>4.375569882493581E-2</v>
      </c>
    </row>
    <row r="45" spans="2:47">
      <c r="B45" s="74">
        <v>44440</v>
      </c>
      <c r="C45" s="75">
        <v>99.92</v>
      </c>
      <c r="D45" s="78">
        <f t="shared" si="38"/>
        <v>-4.2269721077350719E-2</v>
      </c>
      <c r="E45" s="79">
        <f t="shared" si="17"/>
        <v>-4.6394721077350723E-2</v>
      </c>
      <c r="F45" s="75">
        <v>113.82</v>
      </c>
      <c r="G45" s="78">
        <f t="shared" si="39"/>
        <v>0.11478942213516152</v>
      </c>
      <c r="H45" s="78">
        <f t="shared" si="18"/>
        <v>0.11066442213516152</v>
      </c>
      <c r="I45" s="78">
        <f t="shared" si="19"/>
        <v>-5.3013083396833312E-2</v>
      </c>
      <c r="J45" s="79">
        <f t="shared" si="40"/>
        <v>0.13640815702052692</v>
      </c>
      <c r="K45" s="75">
        <v>149.31</v>
      </c>
      <c r="L45" s="78">
        <f t="shared" si="20"/>
        <v>-0.1131503920171063</v>
      </c>
      <c r="M45" s="78">
        <f t="shared" si="21"/>
        <v>-0.11727539201710631</v>
      </c>
      <c r="N45" s="78">
        <f t="shared" si="22"/>
        <v>-5.4968968345422323E-2</v>
      </c>
      <c r="O45" s="79">
        <f t="shared" si="23"/>
        <v>-8.9575772183151894E-2</v>
      </c>
      <c r="P45" s="282">
        <v>81.180000000000007</v>
      </c>
      <c r="Q45" s="78">
        <f t="shared" si="41"/>
        <v>-9.3669755498492657E-2</v>
      </c>
      <c r="R45" s="78">
        <f t="shared" si="24"/>
        <v>-9.7794755498492661E-2</v>
      </c>
      <c r="S45" s="78">
        <f t="shared" si="42"/>
        <v>-0.10235405603935009</v>
      </c>
      <c r="T45" s="79">
        <f t="shared" si="25"/>
        <v>2.1364349908672142E-3</v>
      </c>
      <c r="U45" s="178">
        <v>33.223999999999997</v>
      </c>
      <c r="V45" s="78">
        <f t="shared" si="43"/>
        <v>-6.8311833987661275E-2</v>
      </c>
      <c r="W45" s="78">
        <f t="shared" si="26"/>
        <v>-7.2436833987661278E-2</v>
      </c>
      <c r="X45" s="78">
        <f t="shared" si="27"/>
        <v>-7.9610789868525614E-2</v>
      </c>
      <c r="Y45" s="79">
        <f t="shared" si="28"/>
        <v>1.3221126750101175E-3</v>
      </c>
      <c r="Z45" s="277">
        <v>32.33</v>
      </c>
      <c r="AA45" s="78">
        <f t="shared" si="44"/>
        <v>-5.9080325960419122E-2</v>
      </c>
      <c r="AB45" s="78">
        <f t="shared" si="29"/>
        <v>-6.3205325960419126E-2</v>
      </c>
      <c r="AC45" s="78">
        <f t="shared" si="30"/>
        <v>-6.0308596233026326E-2</v>
      </c>
      <c r="AD45" s="79">
        <f t="shared" si="31"/>
        <v>-2.1931606948788526E-2</v>
      </c>
      <c r="AE45" s="280">
        <v>180.67</v>
      </c>
      <c r="AF45" s="78">
        <f t="shared" si="45"/>
        <v>-0.12342923681529294</v>
      </c>
      <c r="AG45" s="78">
        <f t="shared" si="46"/>
        <v>-0.12755423681529293</v>
      </c>
      <c r="AH45" s="78">
        <f t="shared" si="47"/>
        <v>0.17731725234270931</v>
      </c>
      <c r="AI45" s="79">
        <f t="shared" si="48"/>
        <v>-0.32390636637939796</v>
      </c>
      <c r="AJ45" s="280">
        <v>20.55</v>
      </c>
      <c r="AK45" s="78">
        <f t="shared" si="49"/>
        <v>-7.8888390856118207E-2</v>
      </c>
      <c r="AL45" s="78">
        <f t="shared" si="50"/>
        <v>-8.301339085611821E-2</v>
      </c>
      <c r="AM45" s="78">
        <f t="shared" si="51"/>
        <v>-0.11643973606067295</v>
      </c>
      <c r="AN45" s="79">
        <f t="shared" si="52"/>
        <v>1.4391467983159018E-2</v>
      </c>
      <c r="AO45" s="179">
        <f t="shared" si="36"/>
        <v>100.14627532141368</v>
      </c>
      <c r="AP45" s="79">
        <f t="shared" si="53"/>
        <v>-5.8459561887449454E-2</v>
      </c>
      <c r="AQ45" s="178">
        <v>144.32</v>
      </c>
      <c r="AR45" s="78">
        <f t="shared" si="54"/>
        <v>-3.0303030303030387E-2</v>
      </c>
      <c r="AS45" s="78">
        <f t="shared" si="37"/>
        <v>-3.4428030303030391E-2</v>
      </c>
      <c r="AU45" s="241">
        <f>AP45-E45</f>
        <v>-1.2064840810098731E-2</v>
      </c>
    </row>
    <row r="46" spans="2:47">
      <c r="B46" s="74">
        <v>44470</v>
      </c>
      <c r="C46" s="75">
        <v>105.31</v>
      </c>
      <c r="D46" s="78">
        <f t="shared" si="38"/>
        <v>5.3943154523618864E-2</v>
      </c>
      <c r="E46" s="79">
        <f t="shared" si="17"/>
        <v>4.981815452361886E-2</v>
      </c>
      <c r="F46" s="75">
        <v>121.28</v>
      </c>
      <c r="G46" s="78">
        <f t="shared" si="39"/>
        <v>6.5542083992268463E-2</v>
      </c>
      <c r="H46" s="78">
        <f t="shared" si="18"/>
        <v>6.1417083992268459E-2</v>
      </c>
      <c r="I46" s="78">
        <f t="shared" si="19"/>
        <v>5.6924881087952975E-2</v>
      </c>
      <c r="J46" s="79">
        <f t="shared" si="40"/>
        <v>-2.2777145607152424E-2</v>
      </c>
      <c r="K46" s="75">
        <v>164.76</v>
      </c>
      <c r="L46" s="78">
        <f t="shared" si="20"/>
        <v>0.10347598955193882</v>
      </c>
      <c r="M46" s="78">
        <f t="shared" si="21"/>
        <v>9.9350989551938815E-2</v>
      </c>
      <c r="N46" s="78">
        <f t="shared" si="22"/>
        <v>5.9025089394772516E-2</v>
      </c>
      <c r="O46" s="79">
        <f t="shared" si="23"/>
        <v>1.305655164569839E-2</v>
      </c>
      <c r="P46" s="282">
        <v>84.71</v>
      </c>
      <c r="Q46" s="78">
        <f t="shared" si="41"/>
        <v>4.3483616654348189E-2</v>
      </c>
      <c r="R46" s="78">
        <f t="shared" si="24"/>
        <v>3.9358616654348186E-2</v>
      </c>
      <c r="S46" s="78">
        <f t="shared" si="42"/>
        <v>1.4919112459248669E-2</v>
      </c>
      <c r="T46" s="79">
        <f t="shared" si="25"/>
        <v>2.2016638645109301E-2</v>
      </c>
      <c r="U46" s="178">
        <v>34.49</v>
      </c>
      <c r="V46" s="78">
        <f t="shared" si="43"/>
        <v>3.8104984348663828E-2</v>
      </c>
      <c r="W46" s="78">
        <f t="shared" si="26"/>
        <v>3.3979984348663825E-2</v>
      </c>
      <c r="X46" s="78">
        <f t="shared" si="27"/>
        <v>8.5485213388937428E-2</v>
      </c>
      <c r="Y46" s="79">
        <f t="shared" si="28"/>
        <v>-5.7357072246127822E-2</v>
      </c>
      <c r="Z46" s="277">
        <v>35.450000000000003</v>
      </c>
      <c r="AA46" s="78">
        <f t="shared" si="44"/>
        <v>9.6504794308691855E-2</v>
      </c>
      <c r="AB46" s="78">
        <f t="shared" si="29"/>
        <v>9.2379794308691851E-2</v>
      </c>
      <c r="AC46" s="78">
        <f t="shared" si="30"/>
        <v>6.4758724623655131E-2</v>
      </c>
      <c r="AD46" s="79">
        <f t="shared" si="31"/>
        <v>8.5861924636409931E-3</v>
      </c>
      <c r="AE46" s="280">
        <v>199.37</v>
      </c>
      <c r="AF46" s="78">
        <f t="shared" si="45"/>
        <v>0.10350362539436553</v>
      </c>
      <c r="AG46" s="78">
        <f t="shared" si="46"/>
        <v>9.9378625394365525E-2</v>
      </c>
      <c r="AH46" s="78">
        <f t="shared" si="47"/>
        <v>-2.9608059836643916E-2</v>
      </c>
      <c r="AI46" s="79">
        <f t="shared" si="48"/>
        <v>0.10995180800961371</v>
      </c>
      <c r="AJ46" s="280">
        <v>26.32</v>
      </c>
      <c r="AK46" s="78">
        <f t="shared" si="49"/>
        <v>0.28077858880778583</v>
      </c>
      <c r="AL46" s="78">
        <f t="shared" si="50"/>
        <v>0.27665358880778584</v>
      </c>
      <c r="AM46" s="78">
        <f t="shared" si="51"/>
        <v>1.6972239149433934E-2</v>
      </c>
      <c r="AN46" s="79">
        <f t="shared" si="52"/>
        <v>0.24064647243695617</v>
      </c>
      <c r="AO46" s="179">
        <f t="shared" si="36"/>
        <v>111.53849899664303</v>
      </c>
      <c r="AP46" s="79">
        <f t="shared" si="53"/>
        <v>0.11375584003166035</v>
      </c>
      <c r="AQ46" s="178">
        <v>147.69</v>
      </c>
      <c r="AR46" s="78">
        <f t="shared" si="54"/>
        <v>2.3350886917960167E-2</v>
      </c>
      <c r="AS46" s="78">
        <f t="shared" si="37"/>
        <v>1.9225886917960167E-2</v>
      </c>
      <c r="AU46" s="241">
        <f>AP46-E46</f>
        <v>6.3937685508041492E-2</v>
      </c>
    </row>
    <row r="47" spans="2:47">
      <c r="B47" s="74">
        <v>44501</v>
      </c>
      <c r="C47" s="75">
        <v>102.88</v>
      </c>
      <c r="D47" s="78">
        <f t="shared" si="38"/>
        <v>-2.30747317443738E-2</v>
      </c>
      <c r="E47" s="79">
        <f t="shared" si="17"/>
        <v>-2.71997317443738E-2</v>
      </c>
      <c r="F47" s="75">
        <v>113.78</v>
      </c>
      <c r="G47" s="78">
        <f t="shared" si="39"/>
        <v>-6.184036939313986E-2</v>
      </c>
      <c r="H47" s="78">
        <f t="shared" si="18"/>
        <v>-6.5965369393139864E-2</v>
      </c>
      <c r="I47" s="78">
        <f t="shared" si="19"/>
        <v>-3.1079864558985766E-2</v>
      </c>
      <c r="J47" s="79">
        <f t="shared" si="40"/>
        <v>-6.2154853345622006E-2</v>
      </c>
      <c r="K47" s="75">
        <v>162.06</v>
      </c>
      <c r="L47" s="78">
        <f t="shared" si="20"/>
        <v>-1.6387472687545479E-2</v>
      </c>
      <c r="M47" s="78">
        <f t="shared" si="21"/>
        <v>-2.0512472687545479E-2</v>
      </c>
      <c r="N47" s="78">
        <f t="shared" si="22"/>
        <v>-3.222653695379947E-2</v>
      </c>
      <c r="O47" s="79">
        <f t="shared" si="23"/>
        <v>-1.5555284245213921E-2</v>
      </c>
      <c r="P47" s="282">
        <v>81.05</v>
      </c>
      <c r="Q47" s="78">
        <f t="shared" si="41"/>
        <v>-4.320623303033877E-2</v>
      </c>
      <c r="R47" s="78">
        <f t="shared" si="24"/>
        <v>-4.7331233030338773E-2</v>
      </c>
      <c r="S47" s="78">
        <f t="shared" si="42"/>
        <v>-1.7774297631364528E-2</v>
      </c>
      <c r="T47" s="79">
        <f t="shared" si="25"/>
        <v>-3.1979800948964465E-2</v>
      </c>
      <c r="U47" s="178">
        <v>35.54</v>
      </c>
      <c r="V47" s="78">
        <f t="shared" si="43"/>
        <v>3.0443606842563087E-2</v>
      </c>
      <c r="W47" s="78">
        <f t="shared" si="26"/>
        <v>2.6318606842563087E-2</v>
      </c>
      <c r="X47" s="78">
        <f t="shared" si="27"/>
        <v>-4.6673243810893897E-2</v>
      </c>
      <c r="Y47" s="79">
        <f t="shared" si="28"/>
        <v>6.7140007447602762E-2</v>
      </c>
      <c r="Z47" s="277">
        <v>34.83</v>
      </c>
      <c r="AA47" s="78">
        <f t="shared" si="44"/>
        <v>-1.7489421720733533E-2</v>
      </c>
      <c r="AB47" s="78">
        <f t="shared" si="29"/>
        <v>-2.1614421720733534E-2</v>
      </c>
      <c r="AC47" s="78">
        <f t="shared" si="30"/>
        <v>-3.5356988927321704E-2</v>
      </c>
      <c r="AD47" s="79">
        <f t="shared" si="31"/>
        <v>-5.2923100148075525E-3</v>
      </c>
      <c r="AE47" s="280">
        <v>195.7</v>
      </c>
      <c r="AF47" s="78">
        <f t="shared" si="45"/>
        <v>-1.840798515323272E-2</v>
      </c>
      <c r="AG47" s="78">
        <f t="shared" si="46"/>
        <v>-2.253298515323272E-2</v>
      </c>
      <c r="AH47" s="78">
        <f t="shared" si="47"/>
        <v>-8.0795225562290032E-2</v>
      </c>
      <c r="AI47" s="79">
        <f t="shared" si="48"/>
        <v>3.9227363187661589E-2</v>
      </c>
      <c r="AJ47" s="280">
        <v>27.67</v>
      </c>
      <c r="AK47" s="78">
        <f t="shared" si="49"/>
        <v>5.1291793313069878E-2</v>
      </c>
      <c r="AL47" s="78">
        <f t="shared" si="50"/>
        <v>4.7166793313069874E-2</v>
      </c>
      <c r="AM47" s="78">
        <f t="shared" si="51"/>
        <v>-2.0220346950044245E-2</v>
      </c>
      <c r="AN47" s="79">
        <f t="shared" si="52"/>
        <v>4.8352263041718399E-2</v>
      </c>
      <c r="AO47" s="179">
        <f t="shared" si="36"/>
        <v>111.25925028473658</v>
      </c>
      <c r="AP47" s="79">
        <f t="shared" si="53"/>
        <v>-2.5036083004385274E-3</v>
      </c>
      <c r="AQ47" s="178">
        <v>151.59</v>
      </c>
      <c r="AR47" s="78">
        <f t="shared" si="54"/>
        <v>2.6406662604103293E-2</v>
      </c>
      <c r="AS47" s="78">
        <f t="shared" si="37"/>
        <v>2.2281662604103292E-2</v>
      </c>
      <c r="AU47" s="241">
        <f>AP47-E47</f>
        <v>2.4696123443935271E-2</v>
      </c>
    </row>
    <row r="48" spans="2:47">
      <c r="B48" s="74">
        <v>44531</v>
      </c>
      <c r="C48" s="75">
        <v>105.78</v>
      </c>
      <c r="D48" s="78">
        <f t="shared" si="38"/>
        <v>2.8188180404354668E-2</v>
      </c>
      <c r="E48" s="79">
        <f t="shared" si="17"/>
        <v>2.4063180404354668E-2</v>
      </c>
      <c r="F48" s="75">
        <v>114.66</v>
      </c>
      <c r="G48" s="78">
        <f t="shared" si="39"/>
        <v>7.7342239409385893E-3</v>
      </c>
      <c r="H48" s="78">
        <f t="shared" si="18"/>
        <v>3.6092239409385891E-3</v>
      </c>
      <c r="I48" s="78">
        <f t="shared" si="19"/>
        <v>2.7495873667227645E-2</v>
      </c>
      <c r="J48" s="79">
        <f t="shared" si="40"/>
        <v>-5.1155998237756968E-2</v>
      </c>
      <c r="K48" s="75">
        <v>172.82</v>
      </c>
      <c r="L48" s="78">
        <f t="shared" si="20"/>
        <v>6.6395162285573184E-2</v>
      </c>
      <c r="M48" s="78">
        <f t="shared" si="21"/>
        <v>6.227016228557318E-2</v>
      </c>
      <c r="N48" s="78">
        <f t="shared" si="22"/>
        <v>2.8510316933080919E-2</v>
      </c>
      <c r="O48" s="79">
        <f t="shared" si="23"/>
        <v>6.4904968410243527E-3</v>
      </c>
      <c r="P48" s="282">
        <v>88.97</v>
      </c>
      <c r="Q48" s="78">
        <f t="shared" si="41"/>
        <v>9.7717458359037668E-2</v>
      </c>
      <c r="R48" s="78">
        <f t="shared" si="24"/>
        <v>9.3592458359037664E-2</v>
      </c>
      <c r="S48" s="78">
        <f t="shared" si="42"/>
        <v>7.416387949535125E-3</v>
      </c>
      <c r="T48" s="79">
        <f t="shared" si="25"/>
        <v>8.375320485951232E-2</v>
      </c>
      <c r="U48" s="178">
        <v>39.21</v>
      </c>
      <c r="V48" s="78">
        <f t="shared" si="43"/>
        <v>0.10326392796848616</v>
      </c>
      <c r="W48" s="78">
        <f t="shared" si="26"/>
        <v>9.9138927968486154E-2</v>
      </c>
      <c r="X48" s="78">
        <f t="shared" si="27"/>
        <v>4.1291094207584665E-2</v>
      </c>
      <c r="Y48" s="79">
        <f t="shared" si="28"/>
        <v>5.1995990555047271E-2</v>
      </c>
      <c r="Z48" s="277">
        <v>38</v>
      </c>
      <c r="AA48" s="78">
        <f t="shared" si="44"/>
        <v>9.1013494114269289E-2</v>
      </c>
      <c r="AB48" s="78">
        <f t="shared" si="29"/>
        <v>8.6888494114269285E-2</v>
      </c>
      <c r="AC48" s="78">
        <f t="shared" si="30"/>
        <v>3.1279779194473077E-2</v>
      </c>
      <c r="AD48" s="79">
        <f t="shared" si="31"/>
        <v>3.6573837698400481E-2</v>
      </c>
      <c r="AE48" s="280">
        <v>208.27</v>
      </c>
      <c r="AF48" s="78">
        <f t="shared" si="45"/>
        <v>6.4230965763924397E-2</v>
      </c>
      <c r="AG48" s="78">
        <f t="shared" si="46"/>
        <v>6.0105965763924393E-2</v>
      </c>
      <c r="AH48" s="78">
        <f t="shared" si="47"/>
        <v>-6.6497790502385801E-2</v>
      </c>
      <c r="AI48" s="79">
        <f t="shared" si="48"/>
        <v>0.10756887904491447</v>
      </c>
      <c r="AJ48" s="280">
        <v>29.68</v>
      </c>
      <c r="AK48" s="78">
        <f t="shared" si="49"/>
        <v>7.264185037947235E-2</v>
      </c>
      <c r="AL48" s="78">
        <f t="shared" si="50"/>
        <v>6.8516850379472347E-2</v>
      </c>
      <c r="AM48" s="78">
        <f t="shared" si="51"/>
        <v>8.4370105961939432E-3</v>
      </c>
      <c r="AN48" s="79">
        <f t="shared" si="52"/>
        <v>4.1044962561882677E-2</v>
      </c>
      <c r="AO48" s="179">
        <f t="shared" si="36"/>
        <v>118.91436659365318</v>
      </c>
      <c r="AP48" s="79">
        <f t="shared" si="53"/>
        <v>6.8804313253284427E-2</v>
      </c>
      <c r="AQ48" s="178">
        <v>148.19</v>
      </c>
      <c r="AR48" s="78">
        <f t="shared" si="54"/>
        <v>-2.2428920113463979E-2</v>
      </c>
      <c r="AS48" s="78">
        <f t="shared" si="37"/>
        <v>-2.6553920113463979E-2</v>
      </c>
      <c r="AU48" s="241">
        <f>AP48-E48</f>
        <v>4.4741132848929763E-2</v>
      </c>
    </row>
    <row r="49" spans="2:47">
      <c r="B49" s="74">
        <v>44562</v>
      </c>
      <c r="C49" s="75">
        <v>100.97</v>
      </c>
      <c r="D49" s="78">
        <f t="shared" si="38"/>
        <v>-4.547173378710534E-2</v>
      </c>
      <c r="E49" s="79">
        <f t="shared" si="17"/>
        <v>-4.9596733787105343E-2</v>
      </c>
      <c r="F49" s="75">
        <v>102.72</v>
      </c>
      <c r="G49" s="78">
        <f t="shared" si="39"/>
        <v>-0.1041339612768184</v>
      </c>
      <c r="H49" s="78">
        <f t="shared" si="18"/>
        <v>-0.1082589612768184</v>
      </c>
      <c r="I49" s="78">
        <f t="shared" si="19"/>
        <v>-5.6671873941924245E-2</v>
      </c>
      <c r="J49" s="79">
        <f t="shared" si="40"/>
        <v>-7.8856435846362066E-2</v>
      </c>
      <c r="K49" s="75">
        <v>158.43</v>
      </c>
      <c r="L49" s="78">
        <f t="shared" si="20"/>
        <v>-8.3265825714616271E-2</v>
      </c>
      <c r="M49" s="78">
        <f t="shared" si="21"/>
        <v>-8.7390825714616274E-2</v>
      </c>
      <c r="N49" s="78">
        <f t="shared" si="22"/>
        <v>-5.8762747706455447E-2</v>
      </c>
      <c r="O49" s="79">
        <f t="shared" si="23"/>
        <v>-5.5897426519628736E-2</v>
      </c>
      <c r="P49" s="282">
        <v>90.4</v>
      </c>
      <c r="Q49" s="78">
        <f t="shared" si="41"/>
        <v>1.607283353939537E-2</v>
      </c>
      <c r="R49" s="78">
        <f t="shared" si="24"/>
        <v>1.194783353939537E-2</v>
      </c>
      <c r="S49" s="78">
        <f t="shared" si="42"/>
        <v>-6.387138159130093E-2</v>
      </c>
      <c r="T49" s="79">
        <f t="shared" si="25"/>
        <v>7.3396349580706094E-2</v>
      </c>
      <c r="U49" s="178">
        <v>33.68</v>
      </c>
      <c r="V49" s="78">
        <f t="shared" si="43"/>
        <v>-0.14103545014027041</v>
      </c>
      <c r="W49" s="78">
        <f t="shared" si="26"/>
        <v>-0.1451604501402704</v>
      </c>
      <c r="X49" s="78">
        <f t="shared" si="27"/>
        <v>-8.5105267582221131E-2</v>
      </c>
      <c r="Y49" s="79">
        <f t="shared" si="28"/>
        <v>-6.590702576390349E-2</v>
      </c>
      <c r="Z49" s="277">
        <v>34.590000000000003</v>
      </c>
      <c r="AA49" s="78">
        <f t="shared" si="44"/>
        <v>-8.9736842105263115E-2</v>
      </c>
      <c r="AB49" s="78">
        <f t="shared" si="29"/>
        <v>-9.3861842105263119E-2</v>
      </c>
      <c r="AC49" s="78">
        <f t="shared" si="30"/>
        <v>-6.4470899339098525E-2</v>
      </c>
      <c r="AD49" s="79">
        <f t="shared" si="31"/>
        <v>-4.842581998756032E-2</v>
      </c>
      <c r="AE49" s="280">
        <v>187.29</v>
      </c>
      <c r="AF49" s="78">
        <f t="shared" si="45"/>
        <v>-0.10073462332549099</v>
      </c>
      <c r="AG49" s="78">
        <f t="shared" si="46"/>
        <v>-0.10485962332549099</v>
      </c>
      <c r="AH49" s="78">
        <f t="shared" si="47"/>
        <v>-0.10250564804355451</v>
      </c>
      <c r="AI49" s="79">
        <f t="shared" si="48"/>
        <v>-2.1388852503332209E-2</v>
      </c>
      <c r="AJ49" s="280">
        <v>25.83</v>
      </c>
      <c r="AK49" s="78">
        <f t="shared" si="49"/>
        <v>-0.12971698113207553</v>
      </c>
      <c r="AL49" s="78">
        <f t="shared" si="50"/>
        <v>-0.13384198113207552</v>
      </c>
      <c r="AM49" s="78">
        <f t="shared" si="51"/>
        <v>-7.2661183172481034E-2</v>
      </c>
      <c r="AN49" s="79">
        <f t="shared" si="52"/>
        <v>-8.0215675180990195E-2</v>
      </c>
      <c r="AO49" s="179">
        <f t="shared" si="36"/>
        <v>105.33824510494601</v>
      </c>
      <c r="AP49" s="79">
        <f t="shared" si="53"/>
        <v>-0.11416721021690043</v>
      </c>
      <c r="AQ49" s="178">
        <v>142.38999999999999</v>
      </c>
      <c r="AR49" s="78">
        <f t="shared" si="54"/>
        <v>-3.9138943248532398E-2</v>
      </c>
      <c r="AS49" s="78">
        <f t="shared" si="37"/>
        <v>-4.3263943248532402E-2</v>
      </c>
      <c r="AU49" s="241">
        <f>AP49-E49</f>
        <v>-6.457047642979509E-2</v>
      </c>
    </row>
    <row r="50" spans="2:47">
      <c r="B50" s="74">
        <v>44593</v>
      </c>
      <c r="C50" s="75">
        <v>97.88</v>
      </c>
      <c r="D50" s="78">
        <f t="shared" si="38"/>
        <v>-3.0603149450331824E-2</v>
      </c>
      <c r="E50" s="79">
        <f t="shared" si="17"/>
        <v>-3.4728149450331827E-2</v>
      </c>
      <c r="F50" s="75">
        <v>108.94</v>
      </c>
      <c r="G50" s="78">
        <f t="shared" si="39"/>
        <v>6.0552959501557702E-2</v>
      </c>
      <c r="H50" s="78">
        <f t="shared" si="18"/>
        <v>5.6427959501557698E-2</v>
      </c>
      <c r="I50" s="78">
        <f t="shared" si="19"/>
        <v>-3.9682236260428903E-2</v>
      </c>
      <c r="J50" s="79">
        <f t="shared" si="40"/>
        <v>6.8840847250518686E-2</v>
      </c>
      <c r="K50" s="75">
        <v>154.29</v>
      </c>
      <c r="L50" s="78">
        <f t="shared" si="20"/>
        <v>-2.6131414504828698E-2</v>
      </c>
      <c r="M50" s="78">
        <f t="shared" si="21"/>
        <v>-3.0256414504828699E-2</v>
      </c>
      <c r="N50" s="78">
        <f t="shared" si="22"/>
        <v>-4.114628784269854E-2</v>
      </c>
      <c r="O50" s="79">
        <f t="shared" si="23"/>
        <v>-1.6379475173598071E-2</v>
      </c>
      <c r="P50" s="282">
        <v>90.65</v>
      </c>
      <c r="Q50" s="78">
        <f t="shared" si="41"/>
        <v>2.7654867256636795E-3</v>
      </c>
      <c r="R50" s="78">
        <f t="shared" si="24"/>
        <v>-1.3595132743363207E-3</v>
      </c>
      <c r="S50" s="78">
        <f t="shared" si="42"/>
        <v>-1.8716062155576158E-2</v>
      </c>
      <c r="T50" s="79">
        <f t="shared" si="25"/>
        <v>1.4933683331249625E-2</v>
      </c>
      <c r="U50" s="178">
        <v>30.72</v>
      </c>
      <c r="V50" s="78">
        <f t="shared" si="43"/>
        <v>-8.7885985748218598E-2</v>
      </c>
      <c r="W50" s="78">
        <f t="shared" si="26"/>
        <v>-9.2010985748218602E-2</v>
      </c>
      <c r="X50" s="78">
        <f t="shared" si="27"/>
        <v>-5.9591594565331418E-2</v>
      </c>
      <c r="Y50" s="79">
        <f t="shared" si="28"/>
        <v>-3.8271234388741401E-2</v>
      </c>
      <c r="Z50" s="277">
        <v>33.93</v>
      </c>
      <c r="AA50" s="78">
        <f t="shared" si="44"/>
        <v>-1.9080659150043422E-2</v>
      </c>
      <c r="AB50" s="78">
        <f t="shared" si="29"/>
        <v>-2.3205659150043422E-2</v>
      </c>
      <c r="AC50" s="78">
        <f t="shared" si="30"/>
        <v>-4.5143195055066684E-2</v>
      </c>
      <c r="AD50" s="79">
        <f t="shared" si="31"/>
        <v>2.9026586836275389E-3</v>
      </c>
      <c r="AE50" s="280">
        <v>178.25</v>
      </c>
      <c r="AF50" s="78">
        <f t="shared" si="45"/>
        <v>-4.8267392813284182E-2</v>
      </c>
      <c r="AG50" s="78">
        <f t="shared" si="46"/>
        <v>-5.2392392813284186E-2</v>
      </c>
      <c r="AH50" s="78">
        <f t="shared" si="47"/>
        <v>8.9486363206045291E-2</v>
      </c>
      <c r="AI50" s="79">
        <f t="shared" si="48"/>
        <v>-0.16091363324072522</v>
      </c>
      <c r="AJ50" s="280">
        <v>28.52</v>
      </c>
      <c r="AK50" s="78">
        <f t="shared" si="49"/>
        <v>0.10414246999612864</v>
      </c>
      <c r="AL50" s="78">
        <f t="shared" si="50"/>
        <v>0.10001746999612864</v>
      </c>
      <c r="AM50" s="78">
        <f t="shared" si="51"/>
        <v>-2.1291714484207705E-2</v>
      </c>
      <c r="AN50" s="79">
        <f t="shared" si="52"/>
        <v>0.10227430725894061</v>
      </c>
      <c r="AO50" s="179">
        <f t="shared" si="36"/>
        <v>104.81809629253159</v>
      </c>
      <c r="AP50" s="79">
        <f t="shared" si="53"/>
        <v>-4.9378913793010661E-3</v>
      </c>
      <c r="AQ50" s="178">
        <v>139.87</v>
      </c>
      <c r="AR50" s="78">
        <f t="shared" si="54"/>
        <v>-1.7697872041575802E-2</v>
      </c>
      <c r="AS50" s="78">
        <f t="shared" si="37"/>
        <v>-2.1822872041575802E-2</v>
      </c>
      <c r="AU50" s="241">
        <f>AP50-E50</f>
        <v>2.9790258071030761E-2</v>
      </c>
    </row>
    <row r="51" spans="2:47" s="66" customFormat="1" ht="18">
      <c r="B51" s="74">
        <v>44621</v>
      </c>
      <c r="C51" s="75">
        <v>99.78</v>
      </c>
      <c r="D51" s="78">
        <f t="shared" si="38"/>
        <v>1.9411524315488426E-2</v>
      </c>
      <c r="E51" s="79">
        <f t="shared" si="17"/>
        <v>1.5286524315488426E-2</v>
      </c>
      <c r="F51" s="75">
        <v>131.61000000000001</v>
      </c>
      <c r="G51" s="78">
        <f t="shared" si="39"/>
        <v>0.20809619974297799</v>
      </c>
      <c r="H51" s="78">
        <f t="shared" si="18"/>
        <v>0.203971199742978</v>
      </c>
      <c r="I51" s="78">
        <f t="shared" si="19"/>
        <v>1.7467198197691668E-2</v>
      </c>
      <c r="J51" s="79">
        <f t="shared" si="40"/>
        <v>0.15923465303381842</v>
      </c>
      <c r="K51" s="75">
        <v>151.76</v>
      </c>
      <c r="L51" s="78">
        <f t="shared" si="20"/>
        <v>-1.6397692656685448E-2</v>
      </c>
      <c r="M51" s="78">
        <f t="shared" si="21"/>
        <v>-2.0522692656685448E-2</v>
      </c>
      <c r="N51" s="78">
        <f t="shared" si="22"/>
        <v>1.8111639680054623E-2</v>
      </c>
      <c r="O51" s="79">
        <f t="shared" si="23"/>
        <v>-6.5903680848207982E-2</v>
      </c>
      <c r="P51" s="282">
        <v>99.77</v>
      </c>
      <c r="Q51" s="78">
        <f t="shared" si="41"/>
        <v>0.10060672917815761</v>
      </c>
      <c r="R51" s="78">
        <f t="shared" si="24"/>
        <v>9.6481729178157602E-2</v>
      </c>
      <c r="S51" s="78">
        <f t="shared" si="42"/>
        <v>-7.5305061606889184E-2</v>
      </c>
      <c r="T51" s="79">
        <f t="shared" si="25"/>
        <v>0.16936392523505656</v>
      </c>
      <c r="U51" s="178">
        <v>33.78</v>
      </c>
      <c r="V51" s="78">
        <f t="shared" si="43"/>
        <v>9.9609375E-2</v>
      </c>
      <c r="W51" s="78">
        <f t="shared" si="26"/>
        <v>9.5484374999999996E-2</v>
      </c>
      <c r="X51" s="78">
        <f t="shared" si="27"/>
        <v>2.6230835035552479E-2</v>
      </c>
      <c r="Y51" s="79">
        <f t="shared" si="28"/>
        <v>6.3401696758593307E-2</v>
      </c>
      <c r="Z51" s="277">
        <v>34.78</v>
      </c>
      <c r="AA51" s="78">
        <f t="shared" si="44"/>
        <v>2.5051576775714679E-2</v>
      </c>
      <c r="AB51" s="78">
        <f t="shared" si="29"/>
        <v>2.0926576775714679E-2</v>
      </c>
      <c r="AC51" s="78">
        <f t="shared" si="30"/>
        <v>1.9870985347925588E-2</v>
      </c>
      <c r="AD51" s="79">
        <f t="shared" si="31"/>
        <v>-1.7979285793606633E-2</v>
      </c>
      <c r="AE51" s="280">
        <v>183.77</v>
      </c>
      <c r="AF51" s="78">
        <f t="shared" si="45"/>
        <v>3.0967741935483906E-2</v>
      </c>
      <c r="AG51" s="78">
        <f t="shared" si="46"/>
        <v>2.6842741935483905E-2</v>
      </c>
      <c r="AH51" s="78">
        <f t="shared" si="47"/>
        <v>0.20698946287686074</v>
      </c>
      <c r="AI51" s="79">
        <f t="shared" si="48"/>
        <v>-0.19918159816277256</v>
      </c>
      <c r="AJ51" s="280">
        <v>27.08</v>
      </c>
      <c r="AK51" s="78">
        <f t="shared" si="49"/>
        <v>-5.0490883590462832E-2</v>
      </c>
      <c r="AL51" s="78">
        <f t="shared" si="50"/>
        <v>-5.4615883590462835E-2</v>
      </c>
      <c r="AM51" s="78">
        <f t="shared" si="51"/>
        <v>-8.5668334376195462E-2</v>
      </c>
      <c r="AN51" s="79">
        <f t="shared" si="52"/>
        <v>1.20175735643369E-2</v>
      </c>
      <c r="AO51" s="179">
        <f t="shared" si="36"/>
        <v>109.41709075747954</v>
      </c>
      <c r="AP51" s="79">
        <f t="shared" si="53"/>
        <v>4.3875958709580415E-2</v>
      </c>
      <c r="AQ51" s="178">
        <v>132.08000000000001</v>
      </c>
      <c r="AR51" s="78">
        <f t="shared" si="54"/>
        <v>-5.5694573532565905E-2</v>
      </c>
      <c r="AS51" s="78">
        <f t="shared" si="37"/>
        <v>-5.9819573532565909E-2</v>
      </c>
      <c r="AU51" s="241">
        <f>AP51-E51</f>
        <v>2.8589434394091989E-2</v>
      </c>
    </row>
    <row r="52" spans="2:47">
      <c r="B52" s="74">
        <v>44652</v>
      </c>
      <c r="C52" s="75">
        <v>91.73</v>
      </c>
      <c r="D52" s="78">
        <f t="shared" si="38"/>
        <v>-8.0677490479053926E-2</v>
      </c>
      <c r="E52" s="79">
        <f t="shared" si="17"/>
        <v>-8.480249047905393E-2</v>
      </c>
      <c r="F52" s="75">
        <v>115.98</v>
      </c>
      <c r="G52" s="78">
        <f t="shared" si="39"/>
        <v>-0.11875997264645555</v>
      </c>
      <c r="H52" s="78">
        <f t="shared" si="18"/>
        <v>-0.12288497264645555</v>
      </c>
      <c r="I52" s="78">
        <f t="shared" si="19"/>
        <v>-9.6899849716306635E-2</v>
      </c>
      <c r="J52" s="79">
        <f t="shared" si="40"/>
        <v>-5.3254471441616824E-2</v>
      </c>
      <c r="K52" s="75">
        <v>145.02000000000001</v>
      </c>
      <c r="L52" s="78">
        <f t="shared" si="20"/>
        <v>-4.4412229836583994E-2</v>
      </c>
      <c r="M52" s="78">
        <f t="shared" si="21"/>
        <v>-4.8537229836583998E-2</v>
      </c>
      <c r="N52" s="78">
        <f t="shared" si="22"/>
        <v>-0.10047490978519488</v>
      </c>
      <c r="O52" s="79">
        <f t="shared" si="23"/>
        <v>2.4668331437142976E-2</v>
      </c>
      <c r="P52" s="282">
        <v>99.11</v>
      </c>
      <c r="Q52" s="78">
        <f t="shared" si="41"/>
        <v>-6.6152149944872507E-3</v>
      </c>
      <c r="R52" s="78">
        <f t="shared" si="24"/>
        <v>-1.0740214994487251E-2</v>
      </c>
      <c r="S52" s="78">
        <f t="shared" si="42"/>
        <v>2.8187351521257634E-2</v>
      </c>
      <c r="T52" s="79">
        <f t="shared" si="25"/>
        <v>-4.1350432065735097E-2</v>
      </c>
      <c r="U52" s="178">
        <v>28.47</v>
      </c>
      <c r="V52" s="78">
        <f t="shared" si="43"/>
        <v>-0.15719360568383667</v>
      </c>
      <c r="W52" s="78">
        <f t="shared" si="26"/>
        <v>-0.16131860568383666</v>
      </c>
      <c r="X52" s="78">
        <f t="shared" si="27"/>
        <v>-0.1455164099079248</v>
      </c>
      <c r="Y52" s="79">
        <f t="shared" si="28"/>
        <v>-2.1654038981766072E-2</v>
      </c>
      <c r="Z52" s="277">
        <v>33.78</v>
      </c>
      <c r="AA52" s="78">
        <f t="shared" si="44"/>
        <v>-2.87521564117309E-2</v>
      </c>
      <c r="AB52" s="78">
        <f t="shared" si="29"/>
        <v>-3.2877156411730904E-2</v>
      </c>
      <c r="AC52" s="78">
        <f t="shared" si="30"/>
        <v>-0.1102349370595325</v>
      </c>
      <c r="AD52" s="79">
        <f t="shared" si="31"/>
        <v>5.8322903426405864E-2</v>
      </c>
      <c r="AE52" s="280">
        <v>195.36</v>
      </c>
      <c r="AF52" s="78">
        <f t="shared" si="45"/>
        <v>6.3067965391522041E-2</v>
      </c>
      <c r="AG52" s="78">
        <f t="shared" si="46"/>
        <v>5.8942965391522037E-2</v>
      </c>
      <c r="AH52" s="78">
        <f t="shared" si="47"/>
        <v>-6.9225600266483986E-2</v>
      </c>
      <c r="AI52" s="79">
        <f t="shared" si="48"/>
        <v>0.1091336884366103</v>
      </c>
      <c r="AJ52" s="280">
        <v>27.08</v>
      </c>
      <c r="AK52" s="78">
        <f t="shared" si="49"/>
        <v>0</v>
      </c>
      <c r="AL52" s="78">
        <f t="shared" si="50"/>
        <v>-4.1250000000000002E-3</v>
      </c>
      <c r="AM52" s="78">
        <f t="shared" si="51"/>
        <v>3.2066416304233521E-2</v>
      </c>
      <c r="AN52" s="79">
        <f t="shared" si="52"/>
        <v>-5.5226293525629244E-2</v>
      </c>
      <c r="AO52" s="179">
        <f t="shared" si="36"/>
        <v>102.34997397020189</v>
      </c>
      <c r="AP52" s="79">
        <f t="shared" si="53"/>
        <v>-6.4588783510445794E-2</v>
      </c>
      <c r="AQ52" s="178">
        <v>119.45</v>
      </c>
      <c r="AR52" s="78">
        <f t="shared" si="54"/>
        <v>-9.5623864324651753E-2</v>
      </c>
      <c r="AS52" s="78">
        <f t="shared" si="37"/>
        <v>-9.9748864324651756E-2</v>
      </c>
      <c r="AU52" s="241">
        <f>AP52-E52</f>
        <v>2.0213706968608136E-2</v>
      </c>
    </row>
    <row r="53" spans="2:47">
      <c r="B53" s="74">
        <v>44682</v>
      </c>
      <c r="C53" s="75">
        <v>92.14</v>
      </c>
      <c r="D53" s="78">
        <f t="shared" si="38"/>
        <v>4.4696391583995965E-3</v>
      </c>
      <c r="E53" s="79">
        <f t="shared" si="17"/>
        <v>3.4463915839959627E-4</v>
      </c>
      <c r="F53" s="75">
        <v>119</v>
      </c>
      <c r="G53" s="78">
        <f t="shared" si="39"/>
        <v>2.6038972236592572E-2</v>
      </c>
      <c r="H53" s="78">
        <f t="shared" si="18"/>
        <v>2.1913972236592572E-2</v>
      </c>
      <c r="I53" s="78">
        <f t="shared" si="19"/>
        <v>3.9380308840721967E-4</v>
      </c>
      <c r="J53" s="79">
        <f t="shared" si="40"/>
        <v>-5.7491793632825595E-3</v>
      </c>
      <c r="K53" s="75">
        <v>138.6</v>
      </c>
      <c r="L53" s="78">
        <f t="shared" si="20"/>
        <v>-4.4269755895738672E-2</v>
      </c>
      <c r="M53" s="78">
        <f t="shared" si="21"/>
        <v>-4.8394755895738675E-2</v>
      </c>
      <c r="N53" s="78">
        <f t="shared" si="22"/>
        <v>4.0833220997439786E-4</v>
      </c>
      <c r="O53" s="79">
        <f t="shared" si="23"/>
        <v>-7.607243661718098E-2</v>
      </c>
      <c r="P53" s="282">
        <v>102.03</v>
      </c>
      <c r="Q53" s="78">
        <f t="shared" si="41"/>
        <v>2.9462213701947348E-2</v>
      </c>
      <c r="R53" s="78">
        <f t="shared" si="24"/>
        <v>2.5337213701947348E-2</v>
      </c>
      <c r="S53" s="78">
        <f t="shared" si="42"/>
        <v>-8.6924424437497205E-2</v>
      </c>
      <c r="T53" s="79">
        <f t="shared" si="25"/>
        <v>0.10983877258945435</v>
      </c>
      <c r="U53" s="178">
        <v>27.71</v>
      </c>
      <c r="V53" s="78">
        <f t="shared" si="43"/>
        <v>-2.6694766420793714E-2</v>
      </c>
      <c r="W53" s="78">
        <f t="shared" si="26"/>
        <v>-3.0819766420793714E-2</v>
      </c>
      <c r="X53" s="78">
        <f t="shared" si="27"/>
        <v>5.9138184221588404E-4</v>
      </c>
      <c r="Y53" s="79">
        <f t="shared" si="28"/>
        <v>-3.7262991468863818E-2</v>
      </c>
      <c r="Z53" s="277">
        <v>35.4</v>
      </c>
      <c r="AA53" s="78">
        <f t="shared" si="44"/>
        <v>4.7957371225577194E-2</v>
      </c>
      <c r="AB53" s="78">
        <f t="shared" si="29"/>
        <v>4.3832371225577191E-2</v>
      </c>
      <c r="AC53" s="78">
        <f t="shared" si="30"/>
        <v>4.4799717225066078E-4</v>
      </c>
      <c r="AD53" s="79">
        <f t="shared" si="31"/>
        <v>2.4349496831930807E-2</v>
      </c>
      <c r="AE53" s="280">
        <v>189.86</v>
      </c>
      <c r="AF53" s="78">
        <f t="shared" si="45"/>
        <v>-2.8153153153153143E-2</v>
      </c>
      <c r="AG53" s="78">
        <f t="shared" si="46"/>
        <v>-3.2278153153153147E-2</v>
      </c>
      <c r="AH53" s="78">
        <f t="shared" si="47"/>
        <v>-7.4733704361188997E-3</v>
      </c>
      <c r="AI53" s="79">
        <f t="shared" si="48"/>
        <v>-4.3839659938429976E-2</v>
      </c>
      <c r="AJ53" s="280">
        <v>26.92</v>
      </c>
      <c r="AK53" s="78">
        <f t="shared" si="49"/>
        <v>-5.9084194977842008E-3</v>
      </c>
      <c r="AL53" s="78">
        <f t="shared" si="50"/>
        <v>-1.0033419497784201E-2</v>
      </c>
      <c r="AM53" s="78">
        <f t="shared" si="51"/>
        <v>-9.8886721546597847E-2</v>
      </c>
      <c r="AN53" s="79">
        <f t="shared" si="52"/>
        <v>6.981842482741793E-2</v>
      </c>
      <c r="AO53" s="179">
        <f t="shared" si="36"/>
        <v>101.59076690709875</v>
      </c>
      <c r="AP53" s="79">
        <f t="shared" si="53"/>
        <v>-7.4177553120254522E-3</v>
      </c>
      <c r="AQ53" s="178">
        <v>116.56</v>
      </c>
      <c r="AR53" s="78">
        <f t="shared" si="54"/>
        <v>-2.4194223524487191E-2</v>
      </c>
      <c r="AS53" s="78">
        <f t="shared" si="37"/>
        <v>-2.8319223524487191E-2</v>
      </c>
      <c r="AU53" s="241">
        <f>AP53-E53</f>
        <v>-7.7623944704250485E-3</v>
      </c>
    </row>
    <row r="54" spans="2:47">
      <c r="B54" s="74">
        <v>44713</v>
      </c>
      <c r="C54" s="75">
        <v>83.89</v>
      </c>
      <c r="D54" s="78">
        <f t="shared" si="38"/>
        <v>-8.9537660082483206E-2</v>
      </c>
      <c r="E54" s="79">
        <f t="shared" si="17"/>
        <v>-9.366266008248321E-2</v>
      </c>
      <c r="F54" s="75">
        <v>125.34</v>
      </c>
      <c r="G54" s="78">
        <f t="shared" si="39"/>
        <v>5.3277310924369825E-2</v>
      </c>
      <c r="H54" s="78">
        <f t="shared" si="18"/>
        <v>4.9152310924369821E-2</v>
      </c>
      <c r="I54" s="78">
        <f t="shared" si="19"/>
        <v>-0.1070239521829122</v>
      </c>
      <c r="J54" s="79">
        <f t="shared" si="40"/>
        <v>0.1289069145958141</v>
      </c>
      <c r="K54" s="75">
        <v>125.99</v>
      </c>
      <c r="L54" s="78">
        <f t="shared" si="20"/>
        <v>-9.0981240981240941E-2</v>
      </c>
      <c r="M54" s="78">
        <f t="shared" si="21"/>
        <v>-9.5106240981240944E-2</v>
      </c>
      <c r="N54" s="78">
        <f t="shared" si="22"/>
        <v>-0.11097253475537151</v>
      </c>
      <c r="O54" s="79">
        <f t="shared" si="23"/>
        <v>-1.140305473733734E-2</v>
      </c>
      <c r="P54" s="282">
        <v>95.94</v>
      </c>
      <c r="Q54" s="78">
        <f t="shared" si="41"/>
        <v>-5.9688326962658023E-2</v>
      </c>
      <c r="R54" s="78">
        <f t="shared" si="24"/>
        <v>-6.3813326962658026E-2</v>
      </c>
      <c r="S54" s="78">
        <f t="shared" si="42"/>
        <v>-1.3029738679994646E-2</v>
      </c>
      <c r="T54" s="79">
        <f t="shared" si="25"/>
        <v>-5.32064538326536E-2</v>
      </c>
      <c r="U54" s="178">
        <v>23.59</v>
      </c>
      <c r="V54" s="78">
        <f t="shared" si="43"/>
        <v>-0.1486827859978348</v>
      </c>
      <c r="W54" s="78">
        <f t="shared" si="26"/>
        <v>-0.15280778599783479</v>
      </c>
      <c r="X54" s="78">
        <f t="shared" si="27"/>
        <v>-0.16071997367808089</v>
      </c>
      <c r="Y54" s="79">
        <f t="shared" si="28"/>
        <v>2.0603444743918786E-3</v>
      </c>
      <c r="Z54" s="277">
        <v>31.33</v>
      </c>
      <c r="AA54" s="78">
        <f t="shared" si="44"/>
        <v>-0.11497175141242943</v>
      </c>
      <c r="AB54" s="78">
        <f t="shared" si="29"/>
        <v>-0.11909675141242944</v>
      </c>
      <c r="AC54" s="78">
        <f t="shared" si="30"/>
        <v>-0.12175229030061512</v>
      </c>
      <c r="AD54" s="79">
        <f t="shared" si="31"/>
        <v>-1.637933833321005E-2</v>
      </c>
      <c r="AE54" s="280">
        <v>178.58</v>
      </c>
      <c r="AF54" s="78">
        <f t="shared" si="45"/>
        <v>-5.9412198462024612E-2</v>
      </c>
      <c r="AG54" s="78">
        <f t="shared" si="46"/>
        <v>-6.3537198462024616E-2</v>
      </c>
      <c r="AH54" s="78">
        <f t="shared" si="47"/>
        <v>0.16756637142063599</v>
      </c>
      <c r="AI54" s="79">
        <f t="shared" si="48"/>
        <v>-0.25013844710405631</v>
      </c>
      <c r="AJ54" s="280">
        <v>26.65</v>
      </c>
      <c r="AK54" s="78">
        <f t="shared" si="49"/>
        <v>-1.0029717682020878E-2</v>
      </c>
      <c r="AL54" s="78">
        <f t="shared" si="50"/>
        <v>-1.4154717682020878E-2</v>
      </c>
      <c r="AM54" s="78">
        <f t="shared" si="51"/>
        <v>-1.4822855014703443E-2</v>
      </c>
      <c r="AN54" s="79">
        <f t="shared" si="52"/>
        <v>-1.8366739888713159E-2</v>
      </c>
      <c r="AO54" s="179">
        <f t="shared" si="36"/>
        <v>94.20436350163736</v>
      </c>
      <c r="AP54" s="79">
        <f t="shared" si="53"/>
        <v>-7.2707428345491237E-2</v>
      </c>
      <c r="AQ54" s="178">
        <v>114.87</v>
      </c>
      <c r="AR54" s="78">
        <f t="shared" si="54"/>
        <v>-1.4498970487302643E-2</v>
      </c>
      <c r="AS54" s="78">
        <f t="shared" si="37"/>
        <v>-1.8623970487302643E-2</v>
      </c>
      <c r="AU54" s="241">
        <f>AP54-E54</f>
        <v>2.0955231736991972E-2</v>
      </c>
    </row>
    <row r="55" spans="2:47">
      <c r="B55" s="74">
        <v>44743</v>
      </c>
      <c r="C55" s="75">
        <v>89.82</v>
      </c>
      <c r="D55" s="78">
        <f t="shared" si="38"/>
        <v>7.0687805459530351E-2</v>
      </c>
      <c r="E55" s="79">
        <f t="shared" si="17"/>
        <v>6.6562805459530347E-2</v>
      </c>
      <c r="F55" s="75">
        <v>138.72999999999999</v>
      </c>
      <c r="G55" s="78">
        <f t="shared" si="39"/>
        <v>0.10682942396681017</v>
      </c>
      <c r="H55" s="78">
        <f t="shared" si="18"/>
        <v>0.10270442396681016</v>
      </c>
      <c r="I55" s="78">
        <f t="shared" si="19"/>
        <v>7.6058212551167542E-2</v>
      </c>
      <c r="J55" s="79">
        <f t="shared" si="40"/>
        <v>-6.2313709582528798E-4</v>
      </c>
      <c r="K55" s="75">
        <v>148.38999999999999</v>
      </c>
      <c r="L55" s="78">
        <f t="shared" si="20"/>
        <v>0.17779188824509884</v>
      </c>
      <c r="M55" s="78">
        <f t="shared" si="21"/>
        <v>0.17366688824509885</v>
      </c>
      <c r="N55" s="78">
        <f t="shared" si="22"/>
        <v>7.8864333297471806E-2</v>
      </c>
      <c r="O55" s="79">
        <f t="shared" si="23"/>
        <v>6.7533206436159121E-2</v>
      </c>
      <c r="P55" s="282">
        <v>98.56</v>
      </c>
      <c r="Q55" s="78">
        <f t="shared" si="41"/>
        <v>2.7308734625807851E-2</v>
      </c>
      <c r="R55" s="78">
        <f t="shared" si="24"/>
        <v>2.3183734625807851E-2</v>
      </c>
      <c r="S55" s="78">
        <f t="shared" si="42"/>
        <v>7.7167044476606231E-2</v>
      </c>
      <c r="T55" s="79">
        <f t="shared" si="25"/>
        <v>-5.6406175400788593E-2</v>
      </c>
      <c r="U55" s="178">
        <v>27.65</v>
      </c>
      <c r="V55" s="78">
        <f t="shared" si="43"/>
        <v>0.17210682492581597</v>
      </c>
      <c r="W55" s="78">
        <f t="shared" si="26"/>
        <v>0.16798182492581598</v>
      </c>
      <c r="X55" s="78">
        <f t="shared" si="27"/>
        <v>0.11421811351475454</v>
      </c>
      <c r="Y55" s="79">
        <f t="shared" si="28"/>
        <v>4.7911868205207223E-2</v>
      </c>
      <c r="Z55" s="277">
        <v>35.31</v>
      </c>
      <c r="AA55" s="78">
        <f t="shared" si="44"/>
        <v>0.12703479093520609</v>
      </c>
      <c r="AB55" s="78">
        <f t="shared" si="29"/>
        <v>0.12290979093520608</v>
      </c>
      <c r="AC55" s="78">
        <f t="shared" si="30"/>
        <v>8.6525131855055545E-2</v>
      </c>
      <c r="AD55" s="79">
        <f t="shared" si="31"/>
        <v>1.7349781858754812E-2</v>
      </c>
      <c r="AE55" s="280">
        <v>219.02</v>
      </c>
      <c r="AF55" s="78">
        <f t="shared" si="45"/>
        <v>0.22645313024974789</v>
      </c>
      <c r="AG55" s="78">
        <f t="shared" si="46"/>
        <v>0.2223281302497479</v>
      </c>
      <c r="AH55" s="78">
        <f t="shared" si="47"/>
        <v>-8.1001723121241554E-4</v>
      </c>
      <c r="AI55" s="79">
        <f t="shared" si="48"/>
        <v>0.2041032702595646</v>
      </c>
      <c r="AJ55" s="280">
        <v>33.67</v>
      </c>
      <c r="AK55" s="78">
        <f t="shared" si="49"/>
        <v>0.2634146341463417</v>
      </c>
      <c r="AL55" s="78">
        <f t="shared" si="50"/>
        <v>0.25928963414634171</v>
      </c>
      <c r="AM55" s="78">
        <f t="shared" si="51"/>
        <v>8.7786558140732898E-2</v>
      </c>
      <c r="AN55" s="79">
        <f t="shared" si="52"/>
        <v>0.15246819878421308</v>
      </c>
      <c r="AO55" s="179">
        <f t="shared" si="36"/>
        <v>110.42364116030548</v>
      </c>
      <c r="AP55" s="79">
        <f t="shared" si="53"/>
        <v>0.17217119309326068</v>
      </c>
      <c r="AQ55" s="178">
        <v>117.43</v>
      </c>
      <c r="AR55" s="78">
        <f t="shared" si="54"/>
        <v>2.2286062505440851E-2</v>
      </c>
      <c r="AS55" s="78">
        <f t="shared" si="37"/>
        <v>1.8161062505440851E-2</v>
      </c>
      <c r="AU55" s="241">
        <f>AP55-E55</f>
        <v>0.10560838763373033</v>
      </c>
    </row>
    <row r="56" spans="2:47">
      <c r="B56" s="74">
        <v>44774</v>
      </c>
      <c r="C56" s="75">
        <v>85.9</v>
      </c>
      <c r="D56" s="78">
        <f t="shared" si="38"/>
        <v>-4.3642841238031527E-2</v>
      </c>
      <c r="E56" s="79">
        <f t="shared" si="17"/>
        <v>-4.776784123803153E-2</v>
      </c>
      <c r="F56" s="75">
        <v>141.30000000000001</v>
      </c>
      <c r="G56" s="78">
        <f t="shared" si="39"/>
        <v>1.8525192820586955E-2</v>
      </c>
      <c r="H56" s="78">
        <f t="shared" si="18"/>
        <v>1.4400192820586955E-2</v>
      </c>
      <c r="I56" s="78">
        <f t="shared" si="19"/>
        <v>-5.4582083746478299E-2</v>
      </c>
      <c r="J56" s="79">
        <f t="shared" si="40"/>
        <v>4.1712928055597343E-2</v>
      </c>
      <c r="K56" s="75">
        <v>136.63999999999999</v>
      </c>
      <c r="L56" s="78">
        <f t="shared" si="20"/>
        <v>-7.9183233371521E-2</v>
      </c>
      <c r="M56" s="78">
        <f t="shared" si="21"/>
        <v>-8.3308233371521004E-2</v>
      </c>
      <c r="N56" s="78">
        <f t="shared" si="22"/>
        <v>-5.6595855993288202E-2</v>
      </c>
      <c r="O56" s="79">
        <f t="shared" si="23"/>
        <v>-5.398172588970071E-2</v>
      </c>
      <c r="P56" s="282">
        <v>100.2</v>
      </c>
      <c r="Q56" s="78">
        <f t="shared" si="41"/>
        <v>1.6639610389610482E-2</v>
      </c>
      <c r="R56" s="78">
        <f t="shared" si="24"/>
        <v>1.2514610389610482E-2</v>
      </c>
      <c r="S56" s="78">
        <f t="shared" si="42"/>
        <v>-6.1682399851580562E-2</v>
      </c>
      <c r="T56" s="79">
        <f t="shared" si="25"/>
        <v>7.1774144691200831E-2</v>
      </c>
      <c r="U56" s="178">
        <v>23.74</v>
      </c>
      <c r="V56" s="78">
        <f t="shared" si="43"/>
        <v>-0.14141048824593128</v>
      </c>
      <c r="W56" s="78">
        <f t="shared" si="26"/>
        <v>-0.14553548824593127</v>
      </c>
      <c r="X56" s="78">
        <f t="shared" si="27"/>
        <v>-8.1966988548844058E-2</v>
      </c>
      <c r="Y56" s="79">
        <f t="shared" si="28"/>
        <v>-6.9420342902941426E-2</v>
      </c>
      <c r="Z56" s="277">
        <v>32.96</v>
      </c>
      <c r="AA56" s="78">
        <f t="shared" si="44"/>
        <v>-6.6553384310393704E-2</v>
      </c>
      <c r="AB56" s="78">
        <f t="shared" si="29"/>
        <v>-7.0678384310393708E-2</v>
      </c>
      <c r="AC56" s="78">
        <f t="shared" si="30"/>
        <v>-6.2093518039364207E-2</v>
      </c>
      <c r="AD56" s="79">
        <f t="shared" si="31"/>
        <v>-2.7619743492425228E-2</v>
      </c>
      <c r="AE56" s="280">
        <v>206.3</v>
      </c>
      <c r="AF56" s="78">
        <f t="shared" si="45"/>
        <v>-5.8076887955437861E-2</v>
      </c>
      <c r="AG56" s="78">
        <f t="shared" si="46"/>
        <v>-6.2201887955437865E-2</v>
      </c>
      <c r="AH56" s="78">
        <f t="shared" si="47"/>
        <v>5.42227235639186E-2</v>
      </c>
      <c r="AI56" s="79">
        <f t="shared" si="48"/>
        <v>-0.1354594887407522</v>
      </c>
      <c r="AJ56" s="280">
        <v>31.58</v>
      </c>
      <c r="AK56" s="78">
        <f t="shared" si="49"/>
        <v>-6.207306207306218E-2</v>
      </c>
      <c r="AL56" s="78">
        <f t="shared" si="50"/>
        <v>-6.6198062073062183E-2</v>
      </c>
      <c r="AM56" s="78">
        <f t="shared" si="51"/>
        <v>-7.0170959864508928E-2</v>
      </c>
      <c r="AN56" s="79">
        <f t="shared" si="52"/>
        <v>-1.5061979429948982E-2</v>
      </c>
      <c r="AO56" s="179">
        <f t="shared" si="36"/>
        <v>102.14332592031765</v>
      </c>
      <c r="AP56" s="79">
        <f t="shared" si="53"/>
        <v>-7.4986797690967583E-2</v>
      </c>
      <c r="AQ56" s="178">
        <v>111.88</v>
      </c>
      <c r="AR56" s="78">
        <f t="shared" si="54"/>
        <v>-4.7262198756706231E-2</v>
      </c>
      <c r="AS56" s="78">
        <f t="shared" si="37"/>
        <v>-5.1387198756706234E-2</v>
      </c>
      <c r="AU56" s="241">
        <f>AP56-E56</f>
        <v>-2.7218956452936052E-2</v>
      </c>
    </row>
    <row r="57" spans="2:47">
      <c r="B57" s="74">
        <v>44805</v>
      </c>
      <c r="C57" s="75">
        <v>77.83</v>
      </c>
      <c r="D57" s="78">
        <f t="shared" si="38"/>
        <v>-9.3946449359720741E-2</v>
      </c>
      <c r="E57" s="79">
        <f t="shared" si="17"/>
        <v>-9.8071449359720744E-2</v>
      </c>
      <c r="F57" s="75">
        <v>127.39</v>
      </c>
      <c r="G57" s="78">
        <f t="shared" si="39"/>
        <v>-9.8443029016277439E-2</v>
      </c>
      <c r="H57" s="78">
        <f t="shared" si="18"/>
        <v>-0.10256802901627744</v>
      </c>
      <c r="I57" s="78">
        <f t="shared" si="19"/>
        <v>-0.11206167001386083</v>
      </c>
      <c r="J57" s="79">
        <f t="shared" si="40"/>
        <v>-1.777570751388452E-2</v>
      </c>
      <c r="K57" s="75">
        <v>133.36000000000001</v>
      </c>
      <c r="L57" s="78">
        <f t="shared" si="20"/>
        <v>-2.4004683840749164E-2</v>
      </c>
      <c r="M57" s="78">
        <f t="shared" si="21"/>
        <v>-2.8129683840749164E-2</v>
      </c>
      <c r="N57" s="78">
        <f t="shared" si="22"/>
        <v>-0.11619611607226443</v>
      </c>
      <c r="O57" s="79">
        <f t="shared" si="23"/>
        <v>6.0797083720047357E-2</v>
      </c>
      <c r="P57" s="282">
        <v>86.45</v>
      </c>
      <c r="Q57" s="78">
        <f t="shared" si="41"/>
        <v>-0.13722554890219563</v>
      </c>
      <c r="R57" s="78">
        <f t="shared" si="24"/>
        <v>-0.14135054890219562</v>
      </c>
      <c r="S57" s="78">
        <f t="shared" si="42"/>
        <v>6.9469991298397357E-2</v>
      </c>
      <c r="T57" s="79">
        <f t="shared" si="25"/>
        <v>-0.2132434057505832</v>
      </c>
      <c r="U57" s="178">
        <v>22.5</v>
      </c>
      <c r="V57" s="78">
        <f t="shared" si="43"/>
        <v>-5.2232518955349527E-2</v>
      </c>
      <c r="W57" s="78">
        <f t="shared" si="26"/>
        <v>-5.6357518955349531E-2</v>
      </c>
      <c r="X57" s="78">
        <f t="shared" si="27"/>
        <v>-0.16828521361431392</v>
      </c>
      <c r="Y57" s="79">
        <f t="shared" si="28"/>
        <v>0.10607585145311017</v>
      </c>
      <c r="Z57" s="277">
        <v>31.61</v>
      </c>
      <c r="AA57" s="78">
        <f t="shared" si="44"/>
        <v>-4.0958737864077666E-2</v>
      </c>
      <c r="AB57" s="78">
        <f t="shared" si="29"/>
        <v>-4.5083737864077669E-2</v>
      </c>
      <c r="AC57" s="78">
        <f t="shared" si="30"/>
        <v>-0.12748328482376611</v>
      </c>
      <c r="AD57" s="79">
        <f t="shared" si="31"/>
        <v>6.3364669738292717E-2</v>
      </c>
      <c r="AE57" s="280">
        <v>223</v>
      </c>
      <c r="AF57" s="78">
        <f t="shared" si="45"/>
        <v>8.0950072709646159E-2</v>
      </c>
      <c r="AG57" s="78">
        <f t="shared" si="46"/>
        <v>7.6825072709646156E-2</v>
      </c>
      <c r="AH57" s="78">
        <f t="shared" si="47"/>
        <v>-2.3106679861786762E-2</v>
      </c>
      <c r="AI57" s="79">
        <f t="shared" si="48"/>
        <v>8.0896875350037187E-2</v>
      </c>
      <c r="AJ57" s="280">
        <v>29.72</v>
      </c>
      <c r="AK57" s="78">
        <f t="shared" si="49"/>
        <v>-5.8898036732108916E-2</v>
      </c>
      <c r="AL57" s="78">
        <f t="shared" si="50"/>
        <v>-6.302303673210892E-2</v>
      </c>
      <c r="AM57" s="78">
        <f t="shared" si="51"/>
        <v>7.9030257949062488E-2</v>
      </c>
      <c r="AN57" s="79">
        <f t="shared" si="52"/>
        <v>-0.16108817190256713</v>
      </c>
      <c r="AO57" s="179">
        <f t="shared" si="36"/>
        <v>97.040488593682355</v>
      </c>
      <c r="AP57" s="79">
        <f t="shared" si="53"/>
        <v>-4.9957618676094863E-2</v>
      </c>
      <c r="AQ57" s="178">
        <v>102.45</v>
      </c>
      <c r="AR57" s="78">
        <f t="shared" si="54"/>
        <v>-8.4286735788344558E-2</v>
      </c>
      <c r="AS57" s="78">
        <f t="shared" si="37"/>
        <v>-8.8411735788344561E-2</v>
      </c>
      <c r="AU57" s="241">
        <f>AP57-E57</f>
        <v>4.8113830683625881E-2</v>
      </c>
    </row>
    <row r="58" spans="2:47">
      <c r="B58" s="74">
        <v>44835</v>
      </c>
      <c r="C58" s="75">
        <v>82.77</v>
      </c>
      <c r="D58" s="78">
        <f t="shared" si="38"/>
        <v>6.3471669022227895E-2</v>
      </c>
      <c r="E58" s="79">
        <f t="shared" si="17"/>
        <v>5.9346669022227891E-2</v>
      </c>
      <c r="F58" s="75">
        <v>142.04</v>
      </c>
      <c r="G58" s="78">
        <f t="shared" si="39"/>
        <v>0.11500117748645877</v>
      </c>
      <c r="H58" s="78">
        <f t="shared" si="18"/>
        <v>0.11087617748645877</v>
      </c>
      <c r="I58" s="78">
        <f t="shared" si="19"/>
        <v>6.7812670087061683E-2</v>
      </c>
      <c r="J58" s="79">
        <f t="shared" si="40"/>
        <v>1.5794158887929177E-2</v>
      </c>
      <c r="K58" s="75">
        <v>150.07</v>
      </c>
      <c r="L58" s="78">
        <f t="shared" si="20"/>
        <v>0.1252999400119974</v>
      </c>
      <c r="M58" s="78">
        <f t="shared" si="21"/>
        <v>0.1211749400119974</v>
      </c>
      <c r="N58" s="78">
        <f t="shared" si="22"/>
        <v>7.0314576640092677E-2</v>
      </c>
      <c r="O58" s="79">
        <f t="shared" si="23"/>
        <v>2.3591014860436813E-2</v>
      </c>
      <c r="P58" s="282">
        <v>87.92</v>
      </c>
      <c r="Q58" s="78">
        <f t="shared" si="41"/>
        <v>1.7004048582995868E-2</v>
      </c>
      <c r="R58" s="78">
        <f t="shared" si="24"/>
        <v>1.2879048582995867E-2</v>
      </c>
      <c r="S58" s="78">
        <f t="shared" si="42"/>
        <v>2.6956352127371935E-2</v>
      </c>
      <c r="T58" s="79">
        <f t="shared" si="25"/>
        <v>-1.6500169094366281E-2</v>
      </c>
      <c r="U58" s="178">
        <v>25.29</v>
      </c>
      <c r="V58" s="78">
        <f t="shared" si="43"/>
        <v>0.12399999999999989</v>
      </c>
      <c r="W58" s="78">
        <f t="shared" si="26"/>
        <v>0.11987499999999988</v>
      </c>
      <c r="X58" s="78">
        <f t="shared" si="27"/>
        <v>0.10183562024327</v>
      </c>
      <c r="Y58" s="79">
        <f t="shared" si="28"/>
        <v>1.2187536550875663E-2</v>
      </c>
      <c r="Z58" s="277">
        <v>36.5</v>
      </c>
      <c r="AA58" s="78">
        <f t="shared" si="44"/>
        <v>0.15469788041758936</v>
      </c>
      <c r="AB58" s="78">
        <f t="shared" si="29"/>
        <v>0.15057288041758937</v>
      </c>
      <c r="AC58" s="78">
        <f t="shared" si="30"/>
        <v>7.7144860810120675E-2</v>
      </c>
      <c r="AD58" s="79">
        <f t="shared" si="31"/>
        <v>5.4393142386072985E-2</v>
      </c>
      <c r="AE58" s="280">
        <v>237.48</v>
      </c>
      <c r="AF58" s="78">
        <f t="shared" si="45"/>
        <v>6.493273542600897E-2</v>
      </c>
      <c r="AG58" s="78">
        <f t="shared" si="46"/>
        <v>6.0807735426008966E-2</v>
      </c>
      <c r="AH58" s="78">
        <f t="shared" si="47"/>
        <v>2.0530860604255127E-2</v>
      </c>
      <c r="AI58" s="79">
        <f t="shared" si="48"/>
        <v>2.1241997600358112E-2</v>
      </c>
      <c r="AJ58" s="280">
        <v>31.32</v>
      </c>
      <c r="AK58" s="78">
        <f t="shared" si="49"/>
        <v>5.3835800807537026E-2</v>
      </c>
      <c r="AL58" s="78">
        <f t="shared" si="50"/>
        <v>4.9710800807537023E-2</v>
      </c>
      <c r="AM58" s="78">
        <f t="shared" si="51"/>
        <v>3.0666010203474866E-2</v>
      </c>
      <c r="AN58" s="79">
        <f t="shared" si="52"/>
        <v>9.9133826664335456E-6</v>
      </c>
      <c r="AO58" s="179">
        <f t="shared" si="36"/>
        <v>107.04684118812108</v>
      </c>
      <c r="AP58" s="79">
        <f t="shared" si="53"/>
        <v>0.10311523302748661</v>
      </c>
      <c r="AQ58" s="178">
        <v>96.11</v>
      </c>
      <c r="AR58" s="78">
        <f t="shared" si="54"/>
        <v>-6.1883845778428537E-2</v>
      </c>
      <c r="AS58" s="78">
        <f t="shared" si="37"/>
        <v>-6.600884577842854E-2</v>
      </c>
      <c r="AU58" s="241">
        <f>AP58-E58</f>
        <v>4.376856400525872E-2</v>
      </c>
    </row>
    <row r="59" spans="2:47">
      <c r="B59" s="74">
        <v>44866</v>
      </c>
      <c r="C59" s="75">
        <v>89.67</v>
      </c>
      <c r="D59" s="78">
        <f t="shared" si="38"/>
        <v>8.3363537513591934E-2</v>
      </c>
      <c r="E59" s="79">
        <f t="shared" si="17"/>
        <v>7.9238537513591931E-2</v>
      </c>
      <c r="F59" s="75">
        <v>149.88</v>
      </c>
      <c r="G59" s="78">
        <f t="shared" si="39"/>
        <v>5.5195719515629404E-2</v>
      </c>
      <c r="H59" s="78">
        <f t="shared" si="18"/>
        <v>5.1070719515629401E-2</v>
      </c>
      <c r="I59" s="78">
        <f t="shared" si="19"/>
        <v>9.0542180228816355E-2</v>
      </c>
      <c r="J59" s="79">
        <f t="shared" si="40"/>
        <v>-6.6740809224654862E-2</v>
      </c>
      <c r="K59" s="75">
        <v>163.44999999999999</v>
      </c>
      <c r="L59" s="78">
        <f t="shared" si="20"/>
        <v>8.9158392750049886E-2</v>
      </c>
      <c r="M59" s="78">
        <f t="shared" si="21"/>
        <v>8.5033392750049883E-2</v>
      </c>
      <c r="N59" s="78">
        <f t="shared" si="22"/>
        <v>9.3882678011153492E-2</v>
      </c>
      <c r="O59" s="79">
        <f t="shared" si="23"/>
        <v>-3.6118633772571518E-2</v>
      </c>
      <c r="P59" s="282">
        <v>96.8</v>
      </c>
      <c r="Q59" s="78">
        <f t="shared" si="41"/>
        <v>0.10100090991810728</v>
      </c>
      <c r="R59" s="78">
        <f t="shared" si="24"/>
        <v>9.6875909918107281E-2</v>
      </c>
      <c r="S59" s="78">
        <f t="shared" si="42"/>
        <v>-4.1271077827424944E-2</v>
      </c>
      <c r="T59" s="79">
        <f t="shared" si="25"/>
        <v>0.135724122195542</v>
      </c>
      <c r="U59" s="178">
        <v>29.22</v>
      </c>
      <c r="V59" s="78">
        <f t="shared" si="43"/>
        <v>0.15539739027283517</v>
      </c>
      <c r="W59" s="78">
        <f t="shared" si="26"/>
        <v>0.15127239027283518</v>
      </c>
      <c r="X59" s="78">
        <f t="shared" si="27"/>
        <v>0.13596897261148641</v>
      </c>
      <c r="Y59" s="79">
        <f t="shared" si="28"/>
        <v>9.4515744554945491E-3</v>
      </c>
      <c r="Z59" s="277">
        <v>40.01</v>
      </c>
      <c r="AA59" s="78">
        <f t="shared" si="44"/>
        <v>9.6164383561643696E-2</v>
      </c>
      <c r="AB59" s="78">
        <f t="shared" si="29"/>
        <v>9.2039383561643692E-2</v>
      </c>
      <c r="AC59" s="78">
        <f t="shared" si="30"/>
        <v>0.10300234281041198</v>
      </c>
      <c r="AD59" s="79">
        <f t="shared" si="31"/>
        <v>-2.9997836470164019E-2</v>
      </c>
      <c r="AE59" s="280">
        <v>254.06</v>
      </c>
      <c r="AF59" s="78">
        <f t="shared" si="45"/>
        <v>6.9816405592049824E-2</v>
      </c>
      <c r="AG59" s="78">
        <f t="shared" si="46"/>
        <v>6.569140559204982E-2</v>
      </c>
      <c r="AH59" s="78">
        <f t="shared" si="47"/>
        <v>-8.6756519326508491E-2</v>
      </c>
      <c r="AI59" s="79">
        <f t="shared" si="48"/>
        <v>0.13341304769716258</v>
      </c>
      <c r="AJ59" s="280">
        <v>34.380000000000003</v>
      </c>
      <c r="AK59" s="78">
        <f t="shared" si="49"/>
        <v>9.7701149425287515E-2</v>
      </c>
      <c r="AL59" s="78">
        <f t="shared" si="50"/>
        <v>9.3576149425287511E-2</v>
      </c>
      <c r="AM59" s="78">
        <f t="shared" si="51"/>
        <v>-4.6950688571807432E-2</v>
      </c>
      <c r="AN59" s="79">
        <f t="shared" si="52"/>
        <v>0.12149196077569921</v>
      </c>
      <c r="AO59" s="179">
        <f t="shared" si="36"/>
        <v>117.49723747963122</v>
      </c>
      <c r="AP59" s="79">
        <f t="shared" si="53"/>
        <v>9.7624518159717635E-2</v>
      </c>
      <c r="AQ59" s="178">
        <v>102.73</v>
      </c>
      <c r="AR59" s="78">
        <f t="shared" si="54"/>
        <v>6.887940901050893E-2</v>
      </c>
      <c r="AS59" s="78">
        <f t="shared" si="37"/>
        <v>6.4754409010508926E-2</v>
      </c>
      <c r="AU59" s="241">
        <f>AP59-E59</f>
        <v>1.8385980646125705E-2</v>
      </c>
    </row>
    <row r="60" spans="2:47">
      <c r="B60" s="74">
        <v>44896</v>
      </c>
      <c r="C60" s="75">
        <v>84.88</v>
      </c>
      <c r="D60" s="78">
        <f t="shared" si="38"/>
        <v>-5.3418088546894227E-2</v>
      </c>
      <c r="E60" s="79">
        <f t="shared" si="17"/>
        <v>-5.754308854689423E-2</v>
      </c>
      <c r="F60" s="75">
        <v>142.5</v>
      </c>
      <c r="G60" s="78">
        <f t="shared" si="39"/>
        <v>-4.9239391513210551E-2</v>
      </c>
      <c r="H60" s="78">
        <f t="shared" si="18"/>
        <v>-5.3364391513210555E-2</v>
      </c>
      <c r="I60" s="78">
        <f t="shared" si="19"/>
        <v>-6.5751802817435159E-2</v>
      </c>
      <c r="J60" s="79">
        <f t="shared" si="40"/>
        <v>-1.4881937207243304E-2</v>
      </c>
      <c r="K60" s="75">
        <v>156.94999999999999</v>
      </c>
      <c r="L60" s="78">
        <f t="shared" si="20"/>
        <v>-3.9767513000917742E-2</v>
      </c>
      <c r="M60" s="78">
        <f t="shared" si="21"/>
        <v>-4.3892513000917746E-2</v>
      </c>
      <c r="N60" s="78">
        <f t="shared" si="22"/>
        <v>-6.8177674946217917E-2</v>
      </c>
      <c r="O60" s="79">
        <f t="shared" si="23"/>
        <v>-2.9841865661677375E-3</v>
      </c>
      <c r="P60" s="282">
        <v>94.95</v>
      </c>
      <c r="Q60" s="78">
        <f t="shared" si="41"/>
        <v>-1.9111570247933862E-2</v>
      </c>
      <c r="R60" s="78">
        <f t="shared" si="24"/>
        <v>-2.3236570247933862E-2</v>
      </c>
      <c r="S60" s="78">
        <f t="shared" si="42"/>
        <v>-3.4098907727067133E-3</v>
      </c>
      <c r="T60" s="79">
        <f t="shared" si="25"/>
        <v>-2.2249545025217362E-2</v>
      </c>
      <c r="U60" s="178">
        <v>27.96</v>
      </c>
      <c r="V60" s="78">
        <f t="shared" si="43"/>
        <v>-4.3121149897330513E-2</v>
      </c>
      <c r="W60" s="78">
        <f t="shared" si="26"/>
        <v>-4.7246149897330517E-2</v>
      </c>
      <c r="X60" s="78">
        <f t="shared" si="27"/>
        <v>-9.8740775336381245E-2</v>
      </c>
      <c r="Y60" s="79">
        <f t="shared" si="28"/>
        <v>4.5642782233196511E-2</v>
      </c>
      <c r="Z60" s="277">
        <v>38.47</v>
      </c>
      <c r="AA60" s="78">
        <f t="shared" si="44"/>
        <v>-3.8490377405648535E-2</v>
      </c>
      <c r="AB60" s="78">
        <f t="shared" si="29"/>
        <v>-4.2615377405648538E-2</v>
      </c>
      <c r="AC60" s="78">
        <f t="shared" si="30"/>
        <v>-7.4800382728674286E-2</v>
      </c>
      <c r="AD60" s="79">
        <f t="shared" si="31"/>
        <v>1.3150128101630021E-2</v>
      </c>
      <c r="AE60" s="280">
        <v>234.68</v>
      </c>
      <c r="AF60" s="78">
        <f t="shared" si="45"/>
        <v>-7.6281193418877402E-2</v>
      </c>
      <c r="AG60" s="78">
        <f t="shared" si="46"/>
        <v>-8.0406193418877406E-2</v>
      </c>
      <c r="AH60" s="78">
        <f t="shared" si="47"/>
        <v>-1.9345061708648564E-2</v>
      </c>
      <c r="AI60" s="79">
        <f t="shared" si="48"/>
        <v>-8.0096008931624565E-2</v>
      </c>
      <c r="AJ60" s="280">
        <v>29.5</v>
      </c>
      <c r="AK60" s="78">
        <f t="shared" si="49"/>
        <v>-0.14194299011052947</v>
      </c>
      <c r="AL60" s="78">
        <f t="shared" si="50"/>
        <v>-0.14606799011052946</v>
      </c>
      <c r="AM60" s="78">
        <f t="shared" si="51"/>
        <v>-3.8791504404774046E-3</v>
      </c>
      <c r="AN60" s="79">
        <f t="shared" si="52"/>
        <v>-0.16122371689144777</v>
      </c>
      <c r="AO60" s="179">
        <f t="shared" si="36"/>
        <v>109.31966537279619</v>
      </c>
      <c r="AP60" s="79">
        <f t="shared" si="53"/>
        <v>-6.9597994661386511E-2</v>
      </c>
      <c r="AQ60" s="178">
        <v>99.56</v>
      </c>
      <c r="AR60" s="78">
        <f t="shared" si="54"/>
        <v>-3.0857587851649937E-2</v>
      </c>
      <c r="AS60" s="78">
        <f t="shared" si="37"/>
        <v>-3.4982587851649941E-2</v>
      </c>
      <c r="AU60" s="241">
        <f>AP60-E60</f>
        <v>-1.2054906114492281E-2</v>
      </c>
    </row>
    <row r="61" spans="2:47">
      <c r="B61" s="74">
        <v>44927</v>
      </c>
      <c r="C61" s="75">
        <v>91.25</v>
      </c>
      <c r="D61" s="78">
        <f t="shared" si="38"/>
        <v>7.5047125353440158E-2</v>
      </c>
      <c r="E61" s="79">
        <f t="shared" si="17"/>
        <v>7.0922125353440155E-2</v>
      </c>
      <c r="F61" s="75">
        <v>152.19</v>
      </c>
      <c r="G61" s="78">
        <f t="shared" si="39"/>
        <v>6.800000000000006E-2</v>
      </c>
      <c r="H61" s="78">
        <f t="shared" si="18"/>
        <v>6.3875000000000057E-2</v>
      </c>
      <c r="I61" s="78">
        <f t="shared" si="19"/>
        <v>8.1039404025603098E-2</v>
      </c>
      <c r="J61" s="79">
        <f t="shared" si="40"/>
        <v>-4.443375253707095E-2</v>
      </c>
      <c r="K61" s="75">
        <v>162.21</v>
      </c>
      <c r="L61" s="78">
        <f t="shared" si="20"/>
        <v>3.3513857916534162E-2</v>
      </c>
      <c r="M61" s="78">
        <f t="shared" si="21"/>
        <v>2.9388857916534162E-2</v>
      </c>
      <c r="N61" s="78">
        <f t="shared" si="22"/>
        <v>8.4029302752862731E-2</v>
      </c>
      <c r="O61" s="79">
        <f t="shared" si="23"/>
        <v>-8.1909793347796481E-2</v>
      </c>
      <c r="P61" s="282">
        <v>93.96</v>
      </c>
      <c r="Q61" s="78">
        <f t="shared" si="41"/>
        <v>-1.0426540284360297E-2</v>
      </c>
      <c r="R61" s="78">
        <f t="shared" si="24"/>
        <v>-1.4551540284360297E-2</v>
      </c>
      <c r="S61" s="78">
        <f t="shared" si="42"/>
        <v>-9.359449965276255E-2</v>
      </c>
      <c r="T61" s="79">
        <f t="shared" si="25"/>
        <v>7.6620093818412033E-2</v>
      </c>
      <c r="U61" s="178">
        <v>32.44</v>
      </c>
      <c r="V61" s="78">
        <f t="shared" si="43"/>
        <v>0.16022889842632315</v>
      </c>
      <c r="W61" s="78">
        <f t="shared" si="26"/>
        <v>0.15610389842632316</v>
      </c>
      <c r="X61" s="78">
        <f t="shared" si="27"/>
        <v>0.12169846670978994</v>
      </c>
      <c r="Y61" s="79">
        <f t="shared" si="28"/>
        <v>2.8553588510679004E-2</v>
      </c>
      <c r="Z61" s="277">
        <v>39.75</v>
      </c>
      <c r="AA61" s="78">
        <f t="shared" si="44"/>
        <v>3.3272680010397737E-2</v>
      </c>
      <c r="AB61" s="78">
        <f t="shared" si="29"/>
        <v>2.9147680010397737E-2</v>
      </c>
      <c r="AC61" s="78">
        <f t="shared" si="30"/>
        <v>9.2191821021999423E-2</v>
      </c>
      <c r="AD61" s="79">
        <f t="shared" si="31"/>
        <v>-8.2079018232997403E-2</v>
      </c>
      <c r="AE61" s="280">
        <v>228.91</v>
      </c>
      <c r="AF61" s="78">
        <f t="shared" si="45"/>
        <v>-2.4586671211862976E-2</v>
      </c>
      <c r="AG61" s="78">
        <f t="shared" si="46"/>
        <v>-2.8711671211862976E-2</v>
      </c>
      <c r="AH61" s="78">
        <f t="shared" si="47"/>
        <v>-5.7759529072470978E-2</v>
      </c>
      <c r="AI61" s="79">
        <f t="shared" si="48"/>
        <v>1.0012980639212278E-2</v>
      </c>
      <c r="AJ61" s="280">
        <v>32.78</v>
      </c>
      <c r="AK61" s="78">
        <f t="shared" si="49"/>
        <v>0.11118644067796613</v>
      </c>
      <c r="AL61" s="78">
        <f t="shared" si="50"/>
        <v>0.10706144067796612</v>
      </c>
      <c r="AM61" s="78">
        <f t="shared" si="51"/>
        <v>-0.10647471392934958</v>
      </c>
      <c r="AN61" s="79">
        <f t="shared" si="52"/>
        <v>0.19450127738591999</v>
      </c>
      <c r="AO61" s="179">
        <f t="shared" si="36"/>
        <v>117.52892906818708</v>
      </c>
      <c r="AP61" s="79">
        <f t="shared" si="53"/>
        <v>7.5094116574507402E-2</v>
      </c>
      <c r="AQ61" s="178">
        <v>107.17</v>
      </c>
      <c r="AR61" s="78">
        <f t="shared" si="54"/>
        <v>7.6436319807151376E-2</v>
      </c>
      <c r="AS61" s="78">
        <f t="shared" si="37"/>
        <v>7.2311319807151372E-2</v>
      </c>
      <c r="AU61" s="241">
        <f>AP61-E61</f>
        <v>4.1719912210672477E-3</v>
      </c>
    </row>
    <row r="62" spans="2:47">
      <c r="B62" s="74">
        <v>44958</v>
      </c>
      <c r="C62" s="75">
        <v>88.22</v>
      </c>
      <c r="D62" s="78">
        <f t="shared" si="38"/>
        <v>-3.3205479452054765E-2</v>
      </c>
      <c r="E62" s="79">
        <f t="shared" si="17"/>
        <v>-3.7330479452054768E-2</v>
      </c>
      <c r="F62" s="75">
        <v>161.4</v>
      </c>
      <c r="G62" s="78">
        <f t="shared" si="39"/>
        <v>6.0516459688547242E-2</v>
      </c>
      <c r="H62" s="78">
        <f t="shared" si="18"/>
        <v>5.6391459688547238E-2</v>
      </c>
      <c r="I62" s="78">
        <f t="shared" si="19"/>
        <v>-4.2655797351084296E-2</v>
      </c>
      <c r="J62" s="79">
        <f t="shared" si="40"/>
        <v>7.1777908528163625E-2</v>
      </c>
      <c r="K62" s="75">
        <v>174.93</v>
      </c>
      <c r="L62" s="78">
        <f t="shared" si="20"/>
        <v>7.8416867024227788E-2</v>
      </c>
      <c r="M62" s="78">
        <f t="shared" si="21"/>
        <v>7.4291867024227784E-2</v>
      </c>
      <c r="N62" s="78">
        <f t="shared" si="22"/>
        <v>-4.4229556632062704E-2</v>
      </c>
      <c r="O62" s="79">
        <f t="shared" si="23"/>
        <v>9.1252075144822586E-2</v>
      </c>
      <c r="P62" s="282">
        <v>87.97</v>
      </c>
      <c r="Q62" s="78">
        <f t="shared" si="41"/>
        <v>-6.3750532141336635E-2</v>
      </c>
      <c r="R62" s="78">
        <f t="shared" si="24"/>
        <v>-6.7875532141336639E-2</v>
      </c>
      <c r="S62" s="78">
        <f t="shared" si="42"/>
        <v>0.10426948923178694</v>
      </c>
      <c r="T62" s="79">
        <f t="shared" si="25"/>
        <v>-0.17456788692311381</v>
      </c>
      <c r="U62" s="178">
        <v>32.049999999999997</v>
      </c>
      <c r="V62" s="78">
        <f t="shared" si="43"/>
        <v>-1.2022194821208365E-2</v>
      </c>
      <c r="W62" s="78">
        <f t="shared" si="26"/>
        <v>-1.6147194821208365E-2</v>
      </c>
      <c r="X62" s="78">
        <f t="shared" si="27"/>
        <v>-6.4057049731886223E-2</v>
      </c>
      <c r="Y62" s="79">
        <f t="shared" si="28"/>
        <v>4.2058011704823636E-2</v>
      </c>
      <c r="Z62" s="277">
        <v>45.84</v>
      </c>
      <c r="AA62" s="78">
        <f t="shared" si="44"/>
        <v>0.15320754716981133</v>
      </c>
      <c r="AB62" s="78">
        <f t="shared" si="29"/>
        <v>0.14908254716981134</v>
      </c>
      <c r="AC62" s="78">
        <f t="shared" si="30"/>
        <v>-4.8525969338316273E-2</v>
      </c>
      <c r="AD62" s="79">
        <f t="shared" si="31"/>
        <v>0.17857363928673189</v>
      </c>
      <c r="AE62" s="280">
        <v>251.54</v>
      </c>
      <c r="AF62" s="78">
        <f t="shared" si="45"/>
        <v>9.8859813900659566E-2</v>
      </c>
      <c r="AG62" s="78">
        <f t="shared" si="46"/>
        <v>9.4734813900659562E-2</v>
      </c>
      <c r="AH62" s="78">
        <f t="shared" si="47"/>
        <v>9.3304255384119364E-2</v>
      </c>
      <c r="AI62" s="79">
        <f t="shared" si="48"/>
        <v>-1.7604318704855529E-2</v>
      </c>
      <c r="AJ62" s="280">
        <v>36.99</v>
      </c>
      <c r="AK62" s="78">
        <f t="shared" si="49"/>
        <v>0.12843197071384993</v>
      </c>
      <c r="AL62" s="78">
        <f t="shared" si="50"/>
        <v>0.12430697071384993</v>
      </c>
      <c r="AM62" s="78">
        <f t="shared" si="51"/>
        <v>0.11861876583242381</v>
      </c>
      <c r="AN62" s="79">
        <f t="shared" si="52"/>
        <v>-1.3346672339969612E-2</v>
      </c>
      <c r="AO62" s="179">
        <f t="shared" si="36"/>
        <v>126.13949279740551</v>
      </c>
      <c r="AP62" s="79">
        <f t="shared" si="53"/>
        <v>7.3263355647721642E-2</v>
      </c>
      <c r="AQ62" s="178">
        <v>101.71</v>
      </c>
      <c r="AR62" s="78">
        <f t="shared" si="54"/>
        <v>-5.0947093403004629E-2</v>
      </c>
      <c r="AS62" s="78">
        <f t="shared" si="37"/>
        <v>-5.5072093403004632E-2</v>
      </c>
      <c r="AU62" s="241">
        <f>AP62-E62</f>
        <v>0.11059383509977641</v>
      </c>
    </row>
    <row r="63" spans="2:47">
      <c r="B63" s="74">
        <v>44986</v>
      </c>
      <c r="C63" s="75">
        <v>91.16</v>
      </c>
      <c r="D63" s="78">
        <f t="shared" si="38"/>
        <v>3.332577646792112E-2</v>
      </c>
      <c r="E63" s="79">
        <f t="shared" si="17"/>
        <v>2.920077646792112E-2</v>
      </c>
      <c r="F63" s="75">
        <v>166.64</v>
      </c>
      <c r="G63" s="78">
        <f t="shared" si="39"/>
        <v>3.2465923172242839E-2</v>
      </c>
      <c r="H63" s="78">
        <f t="shared" si="18"/>
        <v>2.8340923172242839E-2</v>
      </c>
      <c r="I63" s="78">
        <f t="shared" si="19"/>
        <v>3.336636501306426E-2</v>
      </c>
      <c r="J63" s="79">
        <f t="shared" si="40"/>
        <v>-3.2294790352289333E-2</v>
      </c>
      <c r="K63" s="75">
        <v>171.34</v>
      </c>
      <c r="L63" s="78">
        <f t="shared" si="20"/>
        <v>-2.0522494712170603E-2</v>
      </c>
      <c r="M63" s="78">
        <f t="shared" si="21"/>
        <v>-2.4647494712170603E-2</v>
      </c>
      <c r="N63" s="78">
        <f t="shared" si="22"/>
        <v>3.4597396429019919E-2</v>
      </c>
      <c r="O63" s="79">
        <f t="shared" si="23"/>
        <v>-8.6514239652658434E-2</v>
      </c>
      <c r="P63" s="282">
        <v>90.99</v>
      </c>
      <c r="Q63" s="78">
        <f t="shared" si="41"/>
        <v>3.4329885188132181E-2</v>
      </c>
      <c r="R63" s="78">
        <f t="shared" si="24"/>
        <v>3.0204885188132181E-2</v>
      </c>
      <c r="S63" s="78">
        <f t="shared" si="42"/>
        <v>-9.885578564150517E-2</v>
      </c>
      <c r="T63" s="79">
        <f t="shared" si="25"/>
        <v>0.12663780527964713</v>
      </c>
      <c r="U63" s="178">
        <v>33.33</v>
      </c>
      <c r="V63" s="78">
        <f t="shared" si="43"/>
        <v>3.9937597503900246E-2</v>
      </c>
      <c r="W63" s="78">
        <f t="shared" si="26"/>
        <v>3.5812597503900243E-2</v>
      </c>
      <c r="X63" s="78">
        <f t="shared" si="27"/>
        <v>5.0106926508075106E-2</v>
      </c>
      <c r="Y63" s="79">
        <f t="shared" si="28"/>
        <v>-2.0146172210029085E-2</v>
      </c>
      <c r="Z63" s="277">
        <v>42.94</v>
      </c>
      <c r="AA63" s="78">
        <f t="shared" si="44"/>
        <v>-6.326352530541024E-2</v>
      </c>
      <c r="AB63" s="78">
        <f t="shared" si="29"/>
        <v>-6.7388525305410243E-2</v>
      </c>
      <c r="AC63" s="78">
        <f t="shared" si="30"/>
        <v>3.7958151203422927E-2</v>
      </c>
      <c r="AD63" s="79">
        <f t="shared" si="31"/>
        <v>-0.1243815537302289</v>
      </c>
      <c r="AE63" s="280">
        <v>243.31</v>
      </c>
      <c r="AF63" s="78">
        <f t="shared" si="45"/>
        <v>-3.2718454321380208E-2</v>
      </c>
      <c r="AG63" s="78">
        <f t="shared" si="46"/>
        <v>-3.6843454321380212E-2</v>
      </c>
      <c r="AH63" s="78">
        <f t="shared" si="47"/>
        <v>-4.1980066407539401E-2</v>
      </c>
      <c r="AI63" s="79">
        <f t="shared" si="48"/>
        <v>-1.3898265135236537E-2</v>
      </c>
      <c r="AJ63" s="280">
        <v>36.74</v>
      </c>
      <c r="AK63" s="78">
        <f t="shared" si="49"/>
        <v>-6.7585834009191714E-3</v>
      </c>
      <c r="AL63" s="78">
        <f t="shared" si="50"/>
        <v>-1.0883583400919172E-2</v>
      </c>
      <c r="AM63" s="78">
        <f t="shared" si="51"/>
        <v>-0.11246004343728218</v>
      </c>
      <c r="AN63" s="79">
        <f t="shared" si="52"/>
        <v>8.254158281496729E-2</v>
      </c>
      <c r="AO63" s="179">
        <f t="shared" si="36"/>
        <v>125.176533532352</v>
      </c>
      <c r="AP63" s="79">
        <f t="shared" si="53"/>
        <v>-7.6340822663694997E-3</v>
      </c>
      <c r="AQ63" s="178">
        <v>106.37</v>
      </c>
      <c r="AR63" s="78">
        <f t="shared" si="54"/>
        <v>4.5816537213646757E-2</v>
      </c>
      <c r="AS63" s="78">
        <f t="shared" si="37"/>
        <v>4.1691537213646754E-2</v>
      </c>
      <c r="AU63" s="241">
        <f>AP63-E63</f>
        <v>-3.6834858734290619E-2</v>
      </c>
    </row>
    <row r="64" spans="2:47">
      <c r="B64" s="74">
        <v>45017</v>
      </c>
      <c r="C64" s="75">
        <v>92.59</v>
      </c>
      <c r="D64" s="78">
        <f t="shared" si="38"/>
        <v>1.5686704695041742E-2</v>
      </c>
      <c r="E64" s="79">
        <f t="shared" si="17"/>
        <v>1.1561704695041742E-2</v>
      </c>
      <c r="F64" s="75">
        <v>169.64</v>
      </c>
      <c r="G64" s="78">
        <f t="shared" si="39"/>
        <v>1.8002880460873838E-2</v>
      </c>
      <c r="H64" s="78">
        <f t="shared" si="18"/>
        <v>1.3877880460873838E-2</v>
      </c>
      <c r="I64" s="78">
        <f t="shared" si="19"/>
        <v>1.3211020585422319E-2</v>
      </c>
      <c r="J64" s="79">
        <f t="shared" si="40"/>
        <v>-2.6602488636016393E-2</v>
      </c>
      <c r="K64" s="75">
        <v>167.12</v>
      </c>
      <c r="L64" s="78">
        <f t="shared" si="20"/>
        <v>-2.462939185245705E-2</v>
      </c>
      <c r="M64" s="78">
        <f t="shared" si="21"/>
        <v>-2.875439185245705E-2</v>
      </c>
      <c r="N64" s="78">
        <f t="shared" si="22"/>
        <v>1.3698433025198846E-2</v>
      </c>
      <c r="O64" s="79">
        <f t="shared" si="23"/>
        <v>-6.9722173389123815E-2</v>
      </c>
      <c r="P64" s="282">
        <v>92.42</v>
      </c>
      <c r="Q64" s="78">
        <f t="shared" si="41"/>
        <v>1.5716012748653752E-2</v>
      </c>
      <c r="R64" s="78">
        <f t="shared" si="24"/>
        <v>1.1591012748653751E-2</v>
      </c>
      <c r="S64" s="78">
        <f t="shared" si="42"/>
        <v>-7.9668274895406621E-2</v>
      </c>
      <c r="T64" s="79">
        <f t="shared" si="25"/>
        <v>8.8836422094070167E-2</v>
      </c>
      <c r="U64" s="178">
        <v>34.86</v>
      </c>
      <c r="V64" s="78">
        <f t="shared" si="43"/>
        <v>4.5904590459046046E-2</v>
      </c>
      <c r="W64" s="78">
        <f t="shared" si="26"/>
        <v>4.1779590459046043E-2</v>
      </c>
      <c r="X64" s="78">
        <f t="shared" si="27"/>
        <v>1.9839249415129229E-2</v>
      </c>
      <c r="Y64" s="79">
        <f t="shared" si="28"/>
        <v>1.6088497838062595E-2</v>
      </c>
      <c r="Z64" s="277">
        <v>41.93</v>
      </c>
      <c r="AA64" s="78">
        <f t="shared" si="44"/>
        <v>-2.3521192361434462E-2</v>
      </c>
      <c r="AB64" s="78">
        <f t="shared" si="29"/>
        <v>-2.7646192361434462E-2</v>
      </c>
      <c r="AC64" s="78">
        <f t="shared" si="30"/>
        <v>1.5029084430882699E-2</v>
      </c>
      <c r="AD64" s="79">
        <f t="shared" si="31"/>
        <v>-6.1710154013712881E-2</v>
      </c>
      <c r="AE64" s="280">
        <v>269.32</v>
      </c>
      <c r="AF64" s="78">
        <f t="shared" si="45"/>
        <v>0.10690066170728696</v>
      </c>
      <c r="AG64" s="78">
        <f t="shared" si="46"/>
        <v>0.10277566170728696</v>
      </c>
      <c r="AH64" s="78">
        <f t="shared" si="47"/>
        <v>-3.4580631345284892E-2</v>
      </c>
      <c r="AI64" s="79">
        <f t="shared" si="48"/>
        <v>0.11832141583117611</v>
      </c>
      <c r="AJ64" s="280">
        <v>35.92</v>
      </c>
      <c r="AK64" s="78">
        <f t="shared" si="49"/>
        <v>-2.2318998366902543E-2</v>
      </c>
      <c r="AL64" s="78">
        <f t="shared" si="50"/>
        <v>-2.6443998366902543E-2</v>
      </c>
      <c r="AM64" s="78">
        <f t="shared" si="51"/>
        <v>-9.0632000921037334E-2</v>
      </c>
      <c r="AN64" s="79">
        <f t="shared" si="52"/>
        <v>4.5153125332739068E-2</v>
      </c>
      <c r="AO64" s="179">
        <f t="shared" si="36"/>
        <v>125.77670251672271</v>
      </c>
      <c r="AP64" s="79">
        <f t="shared" si="53"/>
        <v>4.7945806409122309E-3</v>
      </c>
      <c r="AQ64" s="178">
        <v>106.46</v>
      </c>
      <c r="AR64" s="78">
        <f t="shared" si="54"/>
        <v>8.4610322459321985E-4</v>
      </c>
      <c r="AS64" s="78">
        <f t="shared" si="37"/>
        <v>-3.2788967754067803E-3</v>
      </c>
      <c r="AU64" s="241">
        <f>AP64-E64</f>
        <v>-6.767124054129511E-3</v>
      </c>
    </row>
    <row r="65" spans="2:47">
      <c r="B65" s="74">
        <v>45047</v>
      </c>
      <c r="C65" s="75">
        <v>91.62</v>
      </c>
      <c r="D65" s="78">
        <f t="shared" si="38"/>
        <v>-1.047629333621336E-2</v>
      </c>
      <c r="E65" s="79">
        <f t="shared" si="17"/>
        <v>-1.4601293336213361E-2</v>
      </c>
      <c r="F65" s="75">
        <v>177.58</v>
      </c>
      <c r="G65" s="78">
        <f t="shared" si="39"/>
        <v>4.6804998821032839E-2</v>
      </c>
      <c r="H65" s="78">
        <f t="shared" si="18"/>
        <v>4.2679998821032836E-2</v>
      </c>
      <c r="I65" s="78">
        <f t="shared" si="19"/>
        <v>-1.6684216724652125E-2</v>
      </c>
      <c r="J65" s="79">
        <f t="shared" si="40"/>
        <v>3.2094867034217045E-2</v>
      </c>
      <c r="K65" s="75">
        <v>175.9</v>
      </c>
      <c r="L65" s="78">
        <f t="shared" si="20"/>
        <v>5.2537099090473882E-2</v>
      </c>
      <c r="M65" s="78">
        <f t="shared" si="21"/>
        <v>4.8412099090473878E-2</v>
      </c>
      <c r="N65" s="78">
        <f t="shared" si="22"/>
        <v>-1.7299770589468324E-2</v>
      </c>
      <c r="O65" s="79">
        <f t="shared" si="23"/>
        <v>3.844252116847429E-2</v>
      </c>
      <c r="P65" s="282">
        <v>83.12</v>
      </c>
      <c r="Q65" s="78">
        <f t="shared" si="41"/>
        <v>-0.10062756979008869</v>
      </c>
      <c r="R65" s="78">
        <f t="shared" si="24"/>
        <v>-0.10475256979008869</v>
      </c>
      <c r="S65" s="78">
        <f t="shared" si="42"/>
        <v>4.3926475542144391E-2</v>
      </c>
      <c r="T65" s="79">
        <f t="shared" si="25"/>
        <v>-0.1511019108822233</v>
      </c>
      <c r="U65" s="178">
        <v>34.450000000000003</v>
      </c>
      <c r="V65" s="78">
        <f t="shared" si="43"/>
        <v>-1.1761331038439349E-2</v>
      </c>
      <c r="W65" s="78">
        <f t="shared" si="26"/>
        <v>-1.5886331038439349E-2</v>
      </c>
      <c r="X65" s="78">
        <f t="shared" si="27"/>
        <v>-2.5055016359726821E-2</v>
      </c>
      <c r="Y65" s="79">
        <f t="shared" si="28"/>
        <v>3.3168421154332502E-3</v>
      </c>
      <c r="Z65" s="277">
        <v>43.38</v>
      </c>
      <c r="AA65" s="78">
        <f t="shared" si="44"/>
        <v>3.4581445265919442E-2</v>
      </c>
      <c r="AB65" s="78">
        <f t="shared" si="29"/>
        <v>3.0456445265919441E-2</v>
      </c>
      <c r="AC65" s="78">
        <f t="shared" si="30"/>
        <v>-1.8980252146047677E-2</v>
      </c>
      <c r="AD65" s="79">
        <f t="shared" si="31"/>
        <v>3.0401820190571395E-2</v>
      </c>
      <c r="AE65" s="280">
        <v>282.45999999999998</v>
      </c>
      <c r="AF65" s="78">
        <f t="shared" si="45"/>
        <v>4.8789544036833554E-2</v>
      </c>
      <c r="AG65" s="78">
        <f t="shared" si="46"/>
        <v>4.4664544036833551E-2</v>
      </c>
      <c r="AH65" s="78">
        <f t="shared" si="47"/>
        <v>4.1720185662764871E-2</v>
      </c>
      <c r="AI65" s="79">
        <f t="shared" si="48"/>
        <v>-1.6090518847327043E-2</v>
      </c>
      <c r="AJ65" s="280">
        <v>37.130000000000003</v>
      </c>
      <c r="AK65" s="78">
        <f t="shared" si="49"/>
        <v>3.3685968819599177E-2</v>
      </c>
      <c r="AL65" s="78">
        <f t="shared" si="50"/>
        <v>2.9560968819599177E-2</v>
      </c>
      <c r="AM65" s="78">
        <f t="shared" si="51"/>
        <v>4.9971514721766523E-2</v>
      </c>
      <c r="AN65" s="79">
        <f t="shared" si="52"/>
        <v>-3.944542312356307E-2</v>
      </c>
      <c r="AO65" s="179">
        <f t="shared" si="36"/>
        <v>128.57442479992778</v>
      </c>
      <c r="AP65" s="79">
        <f t="shared" si="53"/>
        <v>2.22435652010602E-2</v>
      </c>
      <c r="AQ65" s="178">
        <v>102.99</v>
      </c>
      <c r="AR65" s="78">
        <f t="shared" si="54"/>
        <v>-3.2594401653203042E-2</v>
      </c>
      <c r="AS65" s="78">
        <f t="shared" si="37"/>
        <v>-3.6719401653203046E-2</v>
      </c>
      <c r="AU65" s="241">
        <f>AP65-E65</f>
        <v>3.684485853727356E-2</v>
      </c>
    </row>
    <row r="66" spans="2:47">
      <c r="B66" s="74">
        <v>45078</v>
      </c>
      <c r="C66" s="75">
        <v>95.94</v>
      </c>
      <c r="D66" s="78">
        <f t="shared" si="38"/>
        <v>4.7151277013752324E-2</v>
      </c>
      <c r="E66" s="79">
        <f t="shared" si="17"/>
        <v>4.302627701375232E-2</v>
      </c>
      <c r="F66" s="75">
        <v>196.45</v>
      </c>
      <c r="G66" s="78">
        <f t="shared" si="39"/>
        <v>0.10626196643766184</v>
      </c>
      <c r="H66" s="78">
        <f t="shared" si="18"/>
        <v>0.10213696643766183</v>
      </c>
      <c r="I66" s="78">
        <f t="shared" si="19"/>
        <v>4.9164119507959188E-2</v>
      </c>
      <c r="J66" s="79">
        <f t="shared" si="40"/>
        <v>2.5703498418234737E-2</v>
      </c>
      <c r="K66" s="75">
        <v>201.1</v>
      </c>
      <c r="L66" s="78">
        <f t="shared" si="20"/>
        <v>0.14326321773735073</v>
      </c>
      <c r="M66" s="78">
        <f t="shared" si="21"/>
        <v>0.13913821773735074</v>
      </c>
      <c r="N66" s="78">
        <f t="shared" si="22"/>
        <v>5.0977999312618739E-2</v>
      </c>
      <c r="O66" s="79">
        <f t="shared" si="23"/>
        <v>6.0890869913264097E-2</v>
      </c>
      <c r="P66" s="282">
        <v>84.2</v>
      </c>
      <c r="Q66" s="78">
        <f t="shared" si="41"/>
        <v>1.2993262752646784E-2</v>
      </c>
      <c r="R66" s="78">
        <f t="shared" si="24"/>
        <v>8.8682627526467835E-3</v>
      </c>
      <c r="S66" s="78">
        <f t="shared" si="42"/>
        <v>6.9577156406129798E-2</v>
      </c>
      <c r="T66" s="79">
        <f t="shared" si="25"/>
        <v>-6.3131759203473234E-2</v>
      </c>
      <c r="U66" s="178">
        <v>36.36</v>
      </c>
      <c r="V66" s="78">
        <f t="shared" si="43"/>
        <v>5.544267053701013E-2</v>
      </c>
      <c r="W66" s="78">
        <f t="shared" si="26"/>
        <v>5.1317670537010127E-2</v>
      </c>
      <c r="X66" s="78">
        <f t="shared" si="27"/>
        <v>7.3830725104607267E-2</v>
      </c>
      <c r="Y66" s="79">
        <f t="shared" si="28"/>
        <v>-2.8364897773451359E-2</v>
      </c>
      <c r="Z66" s="277">
        <v>51.67</v>
      </c>
      <c r="AA66" s="78">
        <f t="shared" si="44"/>
        <v>0.19110189027201474</v>
      </c>
      <c r="AB66" s="78">
        <f t="shared" si="29"/>
        <v>0.18697689027201475</v>
      </c>
      <c r="AC66" s="78">
        <f t="shared" si="30"/>
        <v>5.5929948657445501E-2</v>
      </c>
      <c r="AD66" s="79">
        <f t="shared" si="31"/>
        <v>0.11201206439317354</v>
      </c>
      <c r="AE66" s="280">
        <v>331.56</v>
      </c>
      <c r="AF66" s="78">
        <f t="shared" si="45"/>
        <v>0.17382992282093057</v>
      </c>
      <c r="AG66" s="78">
        <f t="shared" si="46"/>
        <v>0.16970492282093058</v>
      </c>
      <c r="AH66" s="78">
        <f t="shared" si="47"/>
        <v>3.341203205634332E-2</v>
      </c>
      <c r="AI66" s="79">
        <f t="shared" si="48"/>
        <v>0.11725801354319154</v>
      </c>
      <c r="AJ66" s="280">
        <v>43.64</v>
      </c>
      <c r="AK66" s="78">
        <f t="shared" si="49"/>
        <v>0.17532992189604091</v>
      </c>
      <c r="AL66" s="78">
        <f t="shared" si="50"/>
        <v>0.17120492189604092</v>
      </c>
      <c r="AM66" s="78">
        <f t="shared" si="51"/>
        <v>7.9152170820346077E-2</v>
      </c>
      <c r="AN66" s="79">
        <f t="shared" si="52"/>
        <v>7.3017873854299128E-2</v>
      </c>
      <c r="AO66" s="179">
        <f t="shared" si="36"/>
        <v>145.08973099376234</v>
      </c>
      <c r="AP66" s="79">
        <f t="shared" si="53"/>
        <v>0.1284493881231335</v>
      </c>
      <c r="AQ66" s="178">
        <v>102.94</v>
      </c>
      <c r="AR66" s="78">
        <f t="shared" si="54"/>
        <v>-4.8548402757542242E-4</v>
      </c>
      <c r="AS66" s="78">
        <f t="shared" si="37"/>
        <v>-4.6104840275754226E-3</v>
      </c>
      <c r="AU66" s="241">
        <f>AP66-E66</f>
        <v>8.5423111109381181E-2</v>
      </c>
    </row>
    <row r="67" spans="2:47">
      <c r="B67" s="74">
        <v>45108</v>
      </c>
      <c r="C67" s="75">
        <v>99.39</v>
      </c>
      <c r="D67" s="78">
        <f t="shared" si="38"/>
        <v>3.5959974984365317E-2</v>
      </c>
      <c r="E67" s="79">
        <f t="shared" si="17"/>
        <v>3.1834974984365313E-2</v>
      </c>
      <c r="F67" s="75">
        <v>201.62</v>
      </c>
      <c r="G67" s="78">
        <f t="shared" si="39"/>
        <v>2.6317129040468457E-2</v>
      </c>
      <c r="H67" s="78">
        <f t="shared" si="18"/>
        <v>2.2192129040468456E-2</v>
      </c>
      <c r="I67" s="78">
        <f t="shared" si="19"/>
        <v>3.6376340768781094E-2</v>
      </c>
      <c r="J67" s="79">
        <f t="shared" si="40"/>
        <v>-4.145356023978055E-2</v>
      </c>
      <c r="K67" s="75">
        <v>205.32</v>
      </c>
      <c r="L67" s="78">
        <f t="shared" si="20"/>
        <v>2.0984584783689808E-2</v>
      </c>
      <c r="M67" s="78">
        <f t="shared" si="21"/>
        <v>1.6859584783689808E-2</v>
      </c>
      <c r="N67" s="78">
        <f t="shared" si="22"/>
        <v>3.7718423380007846E-2</v>
      </c>
      <c r="O67" s="79">
        <f t="shared" si="23"/>
        <v>-4.812818710778595E-2</v>
      </c>
      <c r="P67" s="282">
        <v>84.74</v>
      </c>
      <c r="Q67" s="78">
        <f t="shared" si="41"/>
        <v>6.4133016627077044E-3</v>
      </c>
      <c r="R67" s="78">
        <f t="shared" si="24"/>
        <v>2.2883016627077042E-3</v>
      </c>
      <c r="S67" s="78">
        <f t="shared" si="42"/>
        <v>-5.4993834161210745E-2</v>
      </c>
      <c r="T67" s="79">
        <f t="shared" si="25"/>
        <v>5.4859270273928236E-2</v>
      </c>
      <c r="U67" s="178">
        <v>35.6</v>
      </c>
      <c r="V67" s="78">
        <f t="shared" si="43"/>
        <v>-2.0902090209020896E-2</v>
      </c>
      <c r="W67" s="78">
        <f t="shared" si="26"/>
        <v>-2.5027090209020896E-2</v>
      </c>
      <c r="X67" s="78">
        <f t="shared" si="27"/>
        <v>5.4627066293267142E-2</v>
      </c>
      <c r="Y67" s="79">
        <f t="shared" si="28"/>
        <v>-8.5505999708142266E-2</v>
      </c>
      <c r="Z67" s="277">
        <v>52.88</v>
      </c>
      <c r="AA67" s="78">
        <f t="shared" si="44"/>
        <v>2.341784401006386E-2</v>
      </c>
      <c r="AB67" s="78">
        <f t="shared" si="29"/>
        <v>1.9292844010063859E-2</v>
      </c>
      <c r="AC67" s="78">
        <f t="shared" si="30"/>
        <v>4.1382351436484048E-2</v>
      </c>
      <c r="AD67" s="79">
        <f t="shared" si="31"/>
        <v>-4.1124384647815912E-2</v>
      </c>
      <c r="AE67" s="280">
        <v>312</v>
      </c>
      <c r="AF67" s="78">
        <f t="shared" si="45"/>
        <v>-5.8993847267462929E-2</v>
      </c>
      <c r="AG67" s="78">
        <f t="shared" si="46"/>
        <v>-6.3118847267462933E-2</v>
      </c>
      <c r="AH67" s="78">
        <f t="shared" si="47"/>
        <v>-5.3885570790570575E-2</v>
      </c>
      <c r="AI67" s="79">
        <f t="shared" si="48"/>
        <v>-2.8268153698288084E-2</v>
      </c>
      <c r="AJ67" s="280">
        <v>40.53</v>
      </c>
      <c r="AK67" s="78">
        <f t="shared" si="49"/>
        <v>-7.1264894592117267E-2</v>
      </c>
      <c r="AL67" s="78">
        <f t="shared" si="50"/>
        <v>-7.5389894592117271E-2</v>
      </c>
      <c r="AM67" s="78">
        <f t="shared" si="51"/>
        <v>-6.2561932398985554E-2</v>
      </c>
      <c r="AN67" s="79">
        <f t="shared" si="52"/>
        <v>-3.1862839414527444E-2</v>
      </c>
      <c r="AO67" s="179">
        <f t="shared" si="36"/>
        <v>142.57377963703391</v>
      </c>
      <c r="AP67" s="79">
        <f t="shared" si="53"/>
        <v>-1.7340657670918025E-2</v>
      </c>
      <c r="AQ67" s="178">
        <v>100.05</v>
      </c>
      <c r="AR67" s="78">
        <f t="shared" si="54"/>
        <v>-2.807460656693217E-2</v>
      </c>
      <c r="AS67" s="78">
        <f t="shared" si="37"/>
        <v>-3.2199606566932173E-2</v>
      </c>
      <c r="AU67" s="241">
        <f>AP67-E67</f>
        <v>-4.9175632655283338E-2</v>
      </c>
    </row>
    <row r="68" spans="2:47">
      <c r="B68" s="74">
        <v>45139</v>
      </c>
      <c r="C68" s="75">
        <v>96.5</v>
      </c>
      <c r="D68" s="78">
        <f t="shared" si="38"/>
        <v>-2.9077371969010946E-2</v>
      </c>
      <c r="E68" s="79">
        <f t="shared" si="17"/>
        <v>-3.3202371969010949E-2</v>
      </c>
      <c r="F68" s="75">
        <v>209.87</v>
      </c>
      <c r="G68" s="78">
        <f t="shared" si="39"/>
        <v>4.0918559666699661E-2</v>
      </c>
      <c r="H68" s="78">
        <f t="shared" si="18"/>
        <v>3.6793559666699657E-2</v>
      </c>
      <c r="I68" s="78">
        <f t="shared" si="19"/>
        <v>-3.7938801512164812E-2</v>
      </c>
      <c r="J68" s="79">
        <f t="shared" si="40"/>
        <v>4.7463012667396554E-2</v>
      </c>
      <c r="K68" s="75">
        <v>230.37</v>
      </c>
      <c r="L68" s="78">
        <f t="shared" si="20"/>
        <v>0.12200467562828754</v>
      </c>
      <c r="M68" s="78">
        <f t="shared" si="21"/>
        <v>0.11787967562828754</v>
      </c>
      <c r="N68" s="78">
        <f t="shared" si="22"/>
        <v>-3.9338530146881073E-2</v>
      </c>
      <c r="O68" s="79">
        <f t="shared" si="23"/>
        <v>0.1299488572637007</v>
      </c>
      <c r="P68" s="282">
        <v>78.400000000000006</v>
      </c>
      <c r="Q68" s="78">
        <f t="shared" si="41"/>
        <v>-7.4817087561954043E-2</v>
      </c>
      <c r="R68" s="78">
        <f t="shared" si="24"/>
        <v>-7.8942087561954047E-2</v>
      </c>
      <c r="S68" s="78">
        <f t="shared" si="42"/>
        <v>0.14848649690033089</v>
      </c>
      <c r="T68" s="79">
        <f t="shared" si="25"/>
        <v>-0.22985145001227514</v>
      </c>
      <c r="U68" s="178">
        <v>34.33</v>
      </c>
      <c r="V68" s="78">
        <f t="shared" si="43"/>
        <v>-3.5674157303370868E-2</v>
      </c>
      <c r="W68" s="78">
        <f t="shared" si="26"/>
        <v>-3.9799157303370872E-2</v>
      </c>
      <c r="X68" s="78">
        <f t="shared" si="27"/>
        <v>-5.6973444318258071E-2</v>
      </c>
      <c r="Y68" s="79">
        <f t="shared" si="28"/>
        <v>1.1322443809032981E-2</v>
      </c>
      <c r="Z68" s="277">
        <v>56.54</v>
      </c>
      <c r="AA68" s="78">
        <f t="shared" si="44"/>
        <v>6.9213313161875956E-2</v>
      </c>
      <c r="AB68" s="78">
        <f t="shared" si="29"/>
        <v>6.5088313161875952E-2</v>
      </c>
      <c r="AC68" s="78">
        <f t="shared" si="30"/>
        <v>-4.315983367416712E-2</v>
      </c>
      <c r="AD68" s="79">
        <f t="shared" si="31"/>
        <v>8.9213269614647345E-2</v>
      </c>
      <c r="AE68" s="280">
        <v>326.05</v>
      </c>
      <c r="AF68" s="78">
        <f t="shared" si="45"/>
        <v>4.5032051282051233E-2</v>
      </c>
      <c r="AG68" s="78">
        <f t="shared" si="46"/>
        <v>4.0907051282051229E-2</v>
      </c>
      <c r="AH68" s="78">
        <f t="shared" si="47"/>
        <v>6.1697270734502402E-2</v>
      </c>
      <c r="AI68" s="79">
        <f t="shared" si="48"/>
        <v>-3.9825096673846899E-2</v>
      </c>
      <c r="AJ68" s="280">
        <v>38.58</v>
      </c>
      <c r="AK68" s="78">
        <f t="shared" si="49"/>
        <v>-4.8112509252405733E-2</v>
      </c>
      <c r="AL68" s="78">
        <f t="shared" si="50"/>
        <v>-5.2237509252405737E-2</v>
      </c>
      <c r="AM68" s="78">
        <f t="shared" si="51"/>
        <v>0.16892079490236725</v>
      </c>
      <c r="AN68" s="79">
        <f t="shared" si="52"/>
        <v>-0.24019318137616871</v>
      </c>
      <c r="AO68" s="179">
        <f t="shared" si="36"/>
        <v>144.72206030828926</v>
      </c>
      <c r="AP68" s="79">
        <f t="shared" si="53"/>
        <v>1.5067852425070491E-2</v>
      </c>
      <c r="AQ68" s="178">
        <v>96.64</v>
      </c>
      <c r="AR68" s="78">
        <f t="shared" si="54"/>
        <v>-3.4082958520739615E-2</v>
      </c>
      <c r="AS68" s="78">
        <f t="shared" si="37"/>
        <v>-3.8207958520739618E-2</v>
      </c>
      <c r="AU68" s="241">
        <f>AP68-E68</f>
        <v>4.8270224394081442E-2</v>
      </c>
    </row>
    <row r="69" spans="2:47">
      <c r="B69" s="74">
        <v>45170</v>
      </c>
      <c r="C69" s="75">
        <v>92.37</v>
      </c>
      <c r="D69" s="78">
        <f t="shared" si="38"/>
        <v>-4.2797927461139862E-2</v>
      </c>
      <c r="E69" s="79">
        <f t="shared" si="17"/>
        <v>-4.6922927461139866E-2</v>
      </c>
      <c r="F69" s="75">
        <v>187.07</v>
      </c>
      <c r="G69" s="78">
        <f t="shared" si="39"/>
        <v>-0.10863868108829278</v>
      </c>
      <c r="H69" s="78">
        <f t="shared" si="18"/>
        <v>-0.11276368108829278</v>
      </c>
      <c r="I69" s="78">
        <f t="shared" si="19"/>
        <v>-5.3616640190026835E-2</v>
      </c>
      <c r="J69" s="79">
        <f t="shared" si="40"/>
        <v>-8.6416389409733854E-2</v>
      </c>
      <c r="K69" s="75">
        <v>213.28</v>
      </c>
      <c r="L69" s="78">
        <f t="shared" si="20"/>
        <v>-7.4185006728306635E-2</v>
      </c>
      <c r="M69" s="78">
        <f t="shared" si="21"/>
        <v>-7.8310006728306639E-2</v>
      </c>
      <c r="N69" s="78">
        <f t="shared" si="22"/>
        <v>-5.5594792993488372E-2</v>
      </c>
      <c r="O69" s="79">
        <f t="shared" si="23"/>
        <v>-4.9984562246286175E-2</v>
      </c>
      <c r="P69" s="282">
        <v>75.22</v>
      </c>
      <c r="Q69" s="78">
        <f t="shared" si="41"/>
        <v>-4.0561224489796044E-2</v>
      </c>
      <c r="R69" s="78">
        <f t="shared" si="24"/>
        <v>-4.4686224489796048E-2</v>
      </c>
      <c r="S69" s="78">
        <f t="shared" si="42"/>
        <v>-5.7115027429493245E-2</v>
      </c>
      <c r="T69" s="79">
        <f t="shared" si="25"/>
        <v>1.0005937389706981E-2</v>
      </c>
      <c r="U69" s="178">
        <v>32.99</v>
      </c>
      <c r="V69" s="78">
        <f t="shared" si="43"/>
        <v>-3.9032915817069469E-2</v>
      </c>
      <c r="W69" s="78">
        <f t="shared" si="26"/>
        <v>-4.3157915817069473E-2</v>
      </c>
      <c r="X69" s="78">
        <f t="shared" si="27"/>
        <v>-8.0517162974141285E-2</v>
      </c>
      <c r="Y69" s="79">
        <f t="shared" si="28"/>
        <v>3.1507403951217594E-2</v>
      </c>
      <c r="Z69" s="277">
        <v>52.99</v>
      </c>
      <c r="AA69" s="78">
        <f t="shared" si="44"/>
        <v>-6.2787407145383778E-2</v>
      </c>
      <c r="AB69" s="78">
        <f t="shared" si="29"/>
        <v>-6.6912407145383782E-2</v>
      </c>
      <c r="AC69" s="78">
        <f t="shared" si="30"/>
        <v>-6.0995212830516718E-2</v>
      </c>
      <c r="AD69" s="79">
        <f t="shared" si="31"/>
        <v>-2.495207153626279E-2</v>
      </c>
      <c r="AE69" s="280">
        <v>313.41000000000003</v>
      </c>
      <c r="AF69" s="78">
        <f t="shared" si="45"/>
        <v>-3.8767060266830189E-2</v>
      </c>
      <c r="AG69" s="78">
        <f t="shared" si="46"/>
        <v>-4.2892060266830193E-2</v>
      </c>
      <c r="AH69" s="78">
        <f t="shared" si="47"/>
        <v>-0.11233284769917216</v>
      </c>
      <c r="AI69" s="79">
        <f t="shared" si="48"/>
        <v>5.0405910210946245E-2</v>
      </c>
      <c r="AJ69" s="280">
        <v>37.58</v>
      </c>
      <c r="AK69" s="78">
        <f t="shared" si="49"/>
        <v>-2.5920165889061653E-2</v>
      </c>
      <c r="AL69" s="78">
        <f t="shared" si="50"/>
        <v>-3.0045165889061653E-2</v>
      </c>
      <c r="AM69" s="78">
        <f t="shared" si="51"/>
        <v>-6.4975038374947405E-2</v>
      </c>
      <c r="AN69" s="79">
        <f t="shared" si="52"/>
        <v>1.5894995264490029E-2</v>
      </c>
      <c r="AO69" s="179">
        <f t="shared" si="36"/>
        <v>136.11367226313294</v>
      </c>
      <c r="AP69" s="79">
        <f t="shared" si="53"/>
        <v>-5.9482210430245236E-2</v>
      </c>
      <c r="AQ69" s="178">
        <v>88.69</v>
      </c>
      <c r="AR69" s="78">
        <f t="shared" si="54"/>
        <v>-8.2264072847682113E-2</v>
      </c>
      <c r="AS69" s="78">
        <f t="shared" si="37"/>
        <v>-8.6389072847682116E-2</v>
      </c>
      <c r="AU69" s="241">
        <f>AP69-E69</f>
        <v>-1.255928296910537E-2</v>
      </c>
    </row>
    <row r="70" spans="2:47">
      <c r="B70" s="74">
        <v>45200</v>
      </c>
      <c r="C70" s="75">
        <v>90.02</v>
      </c>
      <c r="D70" s="78">
        <f t="shared" si="38"/>
        <v>-2.544116054996215E-2</v>
      </c>
      <c r="E70" s="79">
        <f t="shared" si="17"/>
        <v>-2.956616054996215E-2</v>
      </c>
      <c r="F70" s="75">
        <v>167.12</v>
      </c>
      <c r="G70" s="78">
        <f t="shared" si="39"/>
        <v>-0.10664457155075635</v>
      </c>
      <c r="H70" s="78">
        <f t="shared" si="18"/>
        <v>-0.11076957155075635</v>
      </c>
      <c r="I70" s="78">
        <f t="shared" si="19"/>
        <v>-3.3783872357937006E-2</v>
      </c>
      <c r="J70" s="79">
        <f t="shared" si="40"/>
        <v>-0.10425504770428726</v>
      </c>
      <c r="K70" s="75">
        <v>207.91</v>
      </c>
      <c r="L70" s="78">
        <f t="shared" si="20"/>
        <v>-2.5178169542385609E-2</v>
      </c>
      <c r="M70" s="78">
        <f t="shared" si="21"/>
        <v>-2.9303169542385609E-2</v>
      </c>
      <c r="N70" s="78">
        <f t="shared" si="22"/>
        <v>-3.5030307449352351E-2</v>
      </c>
      <c r="O70" s="79">
        <f t="shared" si="23"/>
        <v>-2.154221060450117E-2</v>
      </c>
      <c r="P70" s="282">
        <v>75.540000000000006</v>
      </c>
      <c r="Q70" s="78">
        <f t="shared" si="41"/>
        <v>4.2541877160331421E-3</v>
      </c>
      <c r="R70" s="78">
        <f t="shared" si="24"/>
        <v>1.2918771603314186E-4</v>
      </c>
      <c r="S70" s="78">
        <f t="shared" si="42"/>
        <v>-2.4615279083681909E-2</v>
      </c>
      <c r="T70" s="79">
        <f t="shared" si="25"/>
        <v>2.2321601249724838E-2</v>
      </c>
      <c r="U70" s="178">
        <v>30.63</v>
      </c>
      <c r="V70" s="78">
        <f t="shared" si="43"/>
        <v>-7.153682934222505E-2</v>
      </c>
      <c r="W70" s="78">
        <f t="shared" si="26"/>
        <v>-7.5661829342225054E-2</v>
      </c>
      <c r="X70" s="78">
        <f t="shared" si="27"/>
        <v>-5.0733905498382546E-2</v>
      </c>
      <c r="Y70" s="79">
        <f t="shared" si="28"/>
        <v>-3.0779767049696725E-2</v>
      </c>
      <c r="Z70" s="277">
        <v>48.13</v>
      </c>
      <c r="AA70" s="78">
        <f t="shared" si="44"/>
        <v>-9.1715418003396887E-2</v>
      </c>
      <c r="AB70" s="78">
        <f t="shared" si="29"/>
        <v>-9.5840418003396891E-2</v>
      </c>
      <c r="AC70" s="78">
        <f t="shared" si="30"/>
        <v>-3.8433114745870973E-2</v>
      </c>
      <c r="AD70" s="79">
        <f t="shared" si="31"/>
        <v>-7.6442180478921651E-2</v>
      </c>
      <c r="AE70" s="280">
        <v>270.10000000000002</v>
      </c>
      <c r="AF70" s="78">
        <f t="shared" si="45"/>
        <v>-0.13818959190836289</v>
      </c>
      <c r="AG70" s="78">
        <f t="shared" si="46"/>
        <v>-0.14231459190836288</v>
      </c>
      <c r="AH70" s="78">
        <f t="shared" si="47"/>
        <v>-0.13552135741413518</v>
      </c>
      <c r="AI70" s="79">
        <f t="shared" si="48"/>
        <v>-2.5828111715623409E-2</v>
      </c>
      <c r="AJ70" s="280">
        <v>37.71</v>
      </c>
      <c r="AK70" s="78">
        <f t="shared" si="49"/>
        <v>3.4592868547100863E-3</v>
      </c>
      <c r="AL70" s="78">
        <f t="shared" si="50"/>
        <v>-6.6571314528991385E-4</v>
      </c>
      <c r="AM70" s="78">
        <f t="shared" si="51"/>
        <v>-2.8002765210025617E-2</v>
      </c>
      <c r="AN70" s="79">
        <f t="shared" si="52"/>
        <v>8.3021748433399802E-3</v>
      </c>
      <c r="AO70" s="179">
        <f t="shared" si="36"/>
        <v>127.25998832598802</v>
      </c>
      <c r="AP70" s="79">
        <f t="shared" si="53"/>
        <v>-6.5046249872893869E-2</v>
      </c>
      <c r="AQ70" s="178">
        <v>83.58</v>
      </c>
      <c r="AR70" s="78">
        <f t="shared" si="54"/>
        <v>-5.761641673243878E-2</v>
      </c>
      <c r="AS70" s="78">
        <f t="shared" si="37"/>
        <v>-6.1741416732438784E-2</v>
      </c>
      <c r="AU70" s="241">
        <f>AP70-E70</f>
        <v>-3.5480089322931715E-2</v>
      </c>
    </row>
    <row r="71" spans="2:47">
      <c r="B71" s="74">
        <v>45231</v>
      </c>
      <c r="C71" s="75">
        <v>98.02</v>
      </c>
      <c r="D71" s="78">
        <f t="shared" si="38"/>
        <v>8.8869140191068619E-2</v>
      </c>
      <c r="E71" s="79">
        <f t="shared" si="17"/>
        <v>8.4744140191068615E-2</v>
      </c>
      <c r="F71" s="75">
        <v>188.31</v>
      </c>
      <c r="G71" s="78">
        <f t="shared" si="39"/>
        <v>0.12679511728099557</v>
      </c>
      <c r="H71" s="78">
        <f t="shared" si="18"/>
        <v>0.12267011728099557</v>
      </c>
      <c r="I71" s="78">
        <f t="shared" si="19"/>
        <v>9.6833175564347895E-2</v>
      </c>
      <c r="J71" s="79">
        <f t="shared" si="40"/>
        <v>-1.4324067948202346E-3</v>
      </c>
      <c r="K71" s="75">
        <v>227.69</v>
      </c>
      <c r="L71" s="78">
        <f t="shared" si="20"/>
        <v>9.5137319032273515E-2</v>
      </c>
      <c r="M71" s="78">
        <f t="shared" si="21"/>
        <v>9.1012319032273511E-2</v>
      </c>
      <c r="N71" s="78">
        <f t="shared" si="22"/>
        <v>0.10040577573160582</v>
      </c>
      <c r="O71" s="79">
        <f t="shared" si="23"/>
        <v>-3.6662805210800217E-2</v>
      </c>
      <c r="P71" s="282">
        <v>79.55</v>
      </c>
      <c r="Q71" s="78">
        <f t="shared" si="41"/>
        <v>5.3084458564998549E-2</v>
      </c>
      <c r="R71" s="78">
        <f t="shared" si="24"/>
        <v>4.8959458564998545E-2</v>
      </c>
      <c r="S71" s="78">
        <f t="shared" si="42"/>
        <v>-4.1892877143534554E-2</v>
      </c>
      <c r="T71" s="79">
        <f t="shared" si="25"/>
        <v>8.8429470158542883E-2</v>
      </c>
      <c r="U71" s="178">
        <v>36.78</v>
      </c>
      <c r="V71" s="78">
        <f t="shared" si="43"/>
        <v>0.20078354554358491</v>
      </c>
      <c r="W71" s="78">
        <f t="shared" si="26"/>
        <v>0.19665854554358492</v>
      </c>
      <c r="X71" s="78">
        <f t="shared" si="27"/>
        <v>0.14541628402274442</v>
      </c>
      <c r="Y71" s="79">
        <f t="shared" si="28"/>
        <v>4.5390418314986275E-2</v>
      </c>
      <c r="Z71" s="277">
        <v>53.25</v>
      </c>
      <c r="AA71" s="78">
        <f t="shared" si="44"/>
        <v>0.10637855807188856</v>
      </c>
      <c r="AB71" s="78">
        <f t="shared" si="29"/>
        <v>0.10225355807188856</v>
      </c>
      <c r="AC71" s="78">
        <f t="shared" si="30"/>
        <v>0.11015908739654347</v>
      </c>
      <c r="AD71" s="79">
        <f t="shared" si="31"/>
        <v>-2.6940406546050635E-2</v>
      </c>
      <c r="AE71" s="280">
        <v>300</v>
      </c>
      <c r="AF71" s="78">
        <f t="shared" si="45"/>
        <v>0.11069974083672696</v>
      </c>
      <c r="AG71" s="78">
        <f t="shared" si="46"/>
        <v>0.10657474083672695</v>
      </c>
      <c r="AH71" s="78">
        <f t="shared" si="47"/>
        <v>-1.8619886276766433E-3</v>
      </c>
      <c r="AI71" s="79">
        <f t="shared" si="48"/>
        <v>8.9401852243007868E-2</v>
      </c>
      <c r="AJ71" s="280">
        <v>41.53</v>
      </c>
      <c r="AK71" s="78">
        <f t="shared" si="49"/>
        <v>0.10129939008220634</v>
      </c>
      <c r="AL71" s="78">
        <f t="shared" si="50"/>
        <v>9.7174390082206338E-2</v>
      </c>
      <c r="AM71" s="78">
        <f t="shared" si="51"/>
        <v>-4.765805817739175E-2</v>
      </c>
      <c r="AN71" s="79">
        <f t="shared" si="52"/>
        <v>0.12579757103820235</v>
      </c>
      <c r="AO71" s="179">
        <f t="shared" si="36"/>
        <v>143.01394450775658</v>
      </c>
      <c r="AP71" s="79">
        <f t="shared" si="53"/>
        <v>0.1237934749877028</v>
      </c>
      <c r="AQ71" s="178">
        <v>91.56</v>
      </c>
      <c r="AR71" s="78">
        <f t="shared" si="54"/>
        <v>9.5477386934673447E-2</v>
      </c>
      <c r="AS71" s="78">
        <f t="shared" si="37"/>
        <v>9.1352386934673444E-2</v>
      </c>
      <c r="AU71" s="241">
        <f>AP71-E71</f>
        <v>3.904933479663418E-2</v>
      </c>
    </row>
    <row r="72" spans="2:47">
      <c r="B72" s="74">
        <v>45261</v>
      </c>
      <c r="C72" s="75">
        <v>101.77</v>
      </c>
      <c r="D72" s="78">
        <f t="shared" si="38"/>
        <v>3.8257498469700169E-2</v>
      </c>
      <c r="E72" s="79">
        <f t="shared" si="17"/>
        <v>3.4132498469700165E-2</v>
      </c>
      <c r="F72" s="75">
        <v>215.8</v>
      </c>
      <c r="G72" s="78">
        <f t="shared" si="39"/>
        <v>0.14598268812065207</v>
      </c>
      <c r="H72" s="78">
        <f t="shared" si="18"/>
        <v>0.14185768812065208</v>
      </c>
      <c r="I72" s="78">
        <f t="shared" si="19"/>
        <v>3.9001613672807675E-2</v>
      </c>
      <c r="J72" s="79">
        <f t="shared" si="40"/>
        <v>7.5586725936376498E-2</v>
      </c>
      <c r="K72" s="75">
        <v>240.82</v>
      </c>
      <c r="L72" s="78">
        <f t="shared" si="20"/>
        <v>5.7666124994510071E-2</v>
      </c>
      <c r="M72" s="78">
        <f t="shared" si="21"/>
        <v>5.3541124994510067E-2</v>
      </c>
      <c r="N72" s="78">
        <f t="shared" si="22"/>
        <v>4.0440554105347852E-2</v>
      </c>
      <c r="O72" s="79">
        <f t="shared" si="23"/>
        <v>-1.4168777622305697E-2</v>
      </c>
      <c r="P72" s="282">
        <v>81.22</v>
      </c>
      <c r="Q72" s="78">
        <f t="shared" si="41"/>
        <v>2.0993086109365233E-2</v>
      </c>
      <c r="R72" s="78">
        <f t="shared" si="24"/>
        <v>1.6868086109365233E-2</v>
      </c>
      <c r="S72" s="78">
        <f t="shared" si="42"/>
        <v>-1.6190001195829355E-2</v>
      </c>
      <c r="T72" s="79">
        <f t="shared" si="25"/>
        <v>3.0635221755204375E-2</v>
      </c>
      <c r="U72" s="178">
        <v>40.229999999999997</v>
      </c>
      <c r="V72" s="78">
        <f t="shared" si="43"/>
        <v>9.380097879282201E-2</v>
      </c>
      <c r="W72" s="78">
        <f t="shared" si="26"/>
        <v>8.9675978792822006E-2</v>
      </c>
      <c r="X72" s="78">
        <f t="shared" si="27"/>
        <v>5.856949024068233E-2</v>
      </c>
      <c r="Y72" s="79">
        <f t="shared" si="28"/>
        <v>2.5254645346285458E-2</v>
      </c>
      <c r="Z72" s="277">
        <v>59.09</v>
      </c>
      <c r="AA72" s="78">
        <f t="shared" si="44"/>
        <v>0.10967136150234746</v>
      </c>
      <c r="AB72" s="78">
        <f t="shared" si="29"/>
        <v>0.10554636150234746</v>
      </c>
      <c r="AC72" s="78">
        <f t="shared" si="30"/>
        <v>4.4368907083234085E-2</v>
      </c>
      <c r="AD72" s="79">
        <f t="shared" si="31"/>
        <v>4.2142577197717648E-2</v>
      </c>
      <c r="AE72" s="280">
        <v>328.93</v>
      </c>
      <c r="AF72" s="78">
        <f t="shared" si="45"/>
        <v>9.6433333333333371E-2</v>
      </c>
      <c r="AG72" s="78">
        <f t="shared" si="46"/>
        <v>9.2308333333333367E-2</v>
      </c>
      <c r="AH72" s="78">
        <f t="shared" si="47"/>
        <v>9.8255345203460256E-2</v>
      </c>
      <c r="AI72" s="79">
        <f t="shared" si="48"/>
        <v>-2.4981889091522616E-2</v>
      </c>
      <c r="AJ72" s="280">
        <v>47.15</v>
      </c>
      <c r="AK72" s="78">
        <f t="shared" si="49"/>
        <v>0.13532386226823978</v>
      </c>
      <c r="AL72" s="78">
        <f t="shared" si="50"/>
        <v>0.13119886226823979</v>
      </c>
      <c r="AM72" s="78">
        <f t="shared" si="51"/>
        <v>-1.8418024053092712E-2</v>
      </c>
      <c r="AN72" s="79">
        <f t="shared" si="52"/>
        <v>0.13058200909993678</v>
      </c>
      <c r="AO72" s="179">
        <f t="shared" si="36"/>
        <v>157.61546208834912</v>
      </c>
      <c r="AP72" s="79">
        <f t="shared" si="53"/>
        <v>0.10209855850665392</v>
      </c>
      <c r="AQ72" s="178">
        <v>98.88</v>
      </c>
      <c r="AR72" s="78">
        <f t="shared" si="54"/>
        <v>7.9947575360419298E-2</v>
      </c>
      <c r="AS72" s="78">
        <f t="shared" si="37"/>
        <v>7.5822575360419295E-2</v>
      </c>
      <c r="AU72" s="241">
        <f>AP72-E72</f>
        <v>6.7966060036953754E-2</v>
      </c>
    </row>
    <row r="73" spans="2:47">
      <c r="B73" s="74">
        <v>45292</v>
      </c>
      <c r="C73" s="75">
        <v>102.05</v>
      </c>
      <c r="D73" s="78">
        <f t="shared" si="38"/>
        <v>2.751301955389529E-3</v>
      </c>
      <c r="E73" s="79">
        <f t="shared" si="17"/>
        <v>-1.3736980446104712E-3</v>
      </c>
      <c r="F73" s="75">
        <v>194.05</v>
      </c>
      <c r="G73" s="78">
        <f t="shared" si="39"/>
        <v>-0.10078776645041709</v>
      </c>
      <c r="H73" s="78">
        <f t="shared" si="18"/>
        <v>-0.1049127664504171</v>
      </c>
      <c r="I73" s="78">
        <f t="shared" si="19"/>
        <v>-1.5696606706523219E-3</v>
      </c>
      <c r="J73" s="79">
        <f t="shared" si="40"/>
        <v>-0.13061245429123269</v>
      </c>
      <c r="K73" s="75">
        <v>246.08</v>
      </c>
      <c r="L73" s="78">
        <f t="shared" si="20"/>
        <v>2.1842039697699711E-2</v>
      </c>
      <c r="M73" s="78">
        <f t="shared" si="21"/>
        <v>1.7717039697699711E-2</v>
      </c>
      <c r="N73" s="78">
        <f t="shared" si="22"/>
        <v>-1.627572331008686E-3</v>
      </c>
      <c r="O73" s="79">
        <f t="shared" si="23"/>
        <v>-7.9247364827595146E-3</v>
      </c>
      <c r="P73" s="282">
        <v>78.14</v>
      </c>
      <c r="Q73" s="78">
        <f t="shared" si="41"/>
        <v>-3.7921694163999042E-2</v>
      </c>
      <c r="R73" s="78">
        <f t="shared" si="24"/>
        <v>-4.2046694163999046E-2</v>
      </c>
      <c r="S73" s="78">
        <f t="shared" si="42"/>
        <v>-9.0552266788721351E-3</v>
      </c>
      <c r="T73" s="79">
        <f t="shared" si="25"/>
        <v>-3.5414333035117124E-2</v>
      </c>
      <c r="U73" s="178">
        <v>39.28</v>
      </c>
      <c r="V73" s="78">
        <f t="shared" si="43"/>
        <v>-2.3614218245090579E-2</v>
      </c>
      <c r="W73" s="78">
        <f t="shared" si="26"/>
        <v>-2.7739218245090579E-2</v>
      </c>
      <c r="X73" s="78">
        <f t="shared" si="27"/>
        <v>-2.3571902973607358E-3</v>
      </c>
      <c r="Y73" s="79">
        <f t="shared" si="28"/>
        <v>-3.1233871153584065E-2</v>
      </c>
      <c r="Z73" s="277">
        <v>60.04</v>
      </c>
      <c r="AA73" s="78">
        <f t="shared" si="44"/>
        <v>1.607717041800627E-2</v>
      </c>
      <c r="AB73" s="78">
        <f t="shared" si="29"/>
        <v>1.195217041800627E-2</v>
      </c>
      <c r="AC73" s="78">
        <f t="shared" si="30"/>
        <v>-1.785672998882515E-3</v>
      </c>
      <c r="AD73" s="79">
        <f t="shared" si="31"/>
        <v>-5.2970338045069381E-3</v>
      </c>
      <c r="AE73" s="280">
        <v>335.57</v>
      </c>
      <c r="AF73" s="78">
        <f t="shared" si="45"/>
        <v>2.0186665855957076E-2</v>
      </c>
      <c r="AG73" s="78">
        <f t="shared" si="46"/>
        <v>1.6061665855957075E-2</v>
      </c>
      <c r="AH73" s="78">
        <f t="shared" si="47"/>
        <v>-0.16978340608453471</v>
      </c>
      <c r="AI73" s="79">
        <f t="shared" si="48"/>
        <v>0.16681019471909606</v>
      </c>
      <c r="AJ73" s="280">
        <v>48</v>
      </c>
      <c r="AK73" s="78">
        <f t="shared" si="49"/>
        <v>1.8027571580063739E-2</v>
      </c>
      <c r="AL73" s="78">
        <f t="shared" si="50"/>
        <v>1.3902571580063739E-2</v>
      </c>
      <c r="AM73" s="78">
        <f t="shared" si="51"/>
        <v>-1.0301381745458874E-2</v>
      </c>
      <c r="AN73" s="79">
        <f t="shared" si="52"/>
        <v>5.1690761041268893E-3</v>
      </c>
      <c r="AO73" s="179">
        <f t="shared" si="36"/>
        <v>155.54256201598707</v>
      </c>
      <c r="AP73" s="79">
        <f t="shared" si="53"/>
        <v>-1.315162893853726E-2</v>
      </c>
      <c r="AQ73" s="178">
        <v>96.66</v>
      </c>
      <c r="AR73" s="78">
        <f t="shared" si="54"/>
        <v>-2.2451456310679574E-2</v>
      </c>
      <c r="AS73" s="78">
        <f t="shared" si="37"/>
        <v>-2.6576456310679574E-2</v>
      </c>
      <c r="AU73" s="241">
        <f>AP73-E73</f>
        <v>-1.1777930893926789E-2</v>
      </c>
    </row>
    <row r="74" spans="2:47">
      <c r="B74" s="74">
        <v>45323</v>
      </c>
      <c r="C74" s="75">
        <v>106.65</v>
      </c>
      <c r="D74" s="78">
        <f t="shared" si="38"/>
        <v>4.5075943165115318E-2</v>
      </c>
      <c r="E74" s="79">
        <f t="shared" ref="E74:E100" si="55">D74-$E$7/12</f>
        <v>4.0950943165115314E-2</v>
      </c>
      <c r="F74" s="75">
        <v>241.51</v>
      </c>
      <c r="G74" s="78">
        <f t="shared" si="39"/>
        <v>0.24457614017005924</v>
      </c>
      <c r="H74" s="78">
        <f t="shared" ref="H74:H100" si="56">G74-$E$7/12</f>
        <v>0.24045114017005925</v>
      </c>
      <c r="I74" s="78">
        <f t="shared" ref="I74:I100" si="57">$G$17*E74</f>
        <v>4.6792732336331702E-2</v>
      </c>
      <c r="J74" s="79">
        <f t="shared" ref="J74:J100" si="58">H74-$G$13/12-I74</f>
        <v>0.16638905932225961</v>
      </c>
      <c r="K74" s="75">
        <v>289</v>
      </c>
      <c r="L74" s="78">
        <f t="shared" ref="L74:L100" si="59">K74/K73-1</f>
        <v>0.17441482444733425</v>
      </c>
      <c r="M74" s="78">
        <f t="shared" ref="M74:M100" si="60">L74-$E$7/12</f>
        <v>0.17028982444733426</v>
      </c>
      <c r="N74" s="78">
        <f t="shared" ref="N74:N100" si="61">$H$17*E74</f>
        <v>4.8519121276867326E-2</v>
      </c>
      <c r="O74" s="79">
        <f t="shared" ref="O74:O100" si="62">M74-$G$13/12-N74</f>
        <v>9.4501354658999004E-2</v>
      </c>
      <c r="P74" s="282">
        <v>85.19</v>
      </c>
      <c r="Q74" s="78">
        <f t="shared" si="41"/>
        <v>9.0222677245968663E-2</v>
      </c>
      <c r="R74" s="78">
        <f t="shared" ref="R74:R100" si="63">Q74-$E$7/12</f>
        <v>8.609767724596866E-2</v>
      </c>
      <c r="S74" s="78">
        <f t="shared" si="42"/>
        <v>0.10798228934922852</v>
      </c>
      <c r="T74" s="79">
        <f t="shared" ref="T74:T100" si="64">R74-$I$13/12-S74</f>
        <v>-2.4307477653250073E-2</v>
      </c>
      <c r="U74" s="178">
        <v>45.46</v>
      </c>
      <c r="V74" s="78">
        <f t="shared" si="43"/>
        <v>0.15733197556008149</v>
      </c>
      <c r="W74" s="78">
        <f t="shared" ref="W74:W100" si="65">V74-$E$7/12</f>
        <v>0.1532069755600815</v>
      </c>
      <c r="X74" s="78">
        <f t="shared" ref="X74:X100" si="66">$J$17*E74</f>
        <v>7.0269566354338647E-2</v>
      </c>
      <c r="Y74" s="79">
        <f t="shared" ref="Y74:Y100" si="67">W74-$J$13/12-X74</f>
        <v>7.7085565999888639E-2</v>
      </c>
      <c r="Z74" s="277">
        <v>67.319999999999993</v>
      </c>
      <c r="AA74" s="78">
        <f t="shared" si="44"/>
        <v>0.12125249833444363</v>
      </c>
      <c r="AB74" s="78">
        <f t="shared" ref="AB74:AB100" si="68">AA74-$E$7/12</f>
        <v>0.11712749833444362</v>
      </c>
      <c r="AC74" s="78">
        <f t="shared" ref="AC74:AC100" si="69">$K$17*E74</f>
        <v>5.3232217790230879E-2</v>
      </c>
      <c r="AD74" s="79">
        <f t="shared" ref="AD74:AD100" si="70">AB74-$K$13/12-AC74</f>
        <v>4.4860403322817016E-2</v>
      </c>
      <c r="AE74" s="280">
        <v>380.67</v>
      </c>
      <c r="AF74" s="78">
        <f t="shared" si="45"/>
        <v>0.13439818815746341</v>
      </c>
      <c r="AG74" s="78">
        <f t="shared" si="46"/>
        <v>0.13027318815746342</v>
      </c>
      <c r="AH74" s="78">
        <f t="shared" si="47"/>
        <v>0.21628949077049245</v>
      </c>
      <c r="AI74" s="79">
        <f t="shared" si="48"/>
        <v>-0.10505117983442476</v>
      </c>
      <c r="AJ74" s="280">
        <v>51.38</v>
      </c>
      <c r="AK74" s="78">
        <f t="shared" si="49"/>
        <v>7.0416666666666794E-2</v>
      </c>
      <c r="AL74" s="78">
        <f t="shared" si="50"/>
        <v>6.629166666666679E-2</v>
      </c>
      <c r="AM74" s="78">
        <f t="shared" si="51"/>
        <v>0.12284251115771631</v>
      </c>
      <c r="AN74" s="79">
        <f t="shared" si="52"/>
        <v>-7.558572171244525E-2</v>
      </c>
      <c r="AO74" s="179">
        <f t="shared" ref="AO74:AO100" si="71">AO73*(1+AP74)</f>
        <v>177.35479484618008</v>
      </c>
      <c r="AP74" s="79">
        <f t="shared" si="53"/>
        <v>0.14023321043118137</v>
      </c>
      <c r="AQ74" s="178">
        <v>94.18</v>
      </c>
      <c r="AR74" s="78">
        <f t="shared" si="54"/>
        <v>-2.5656941858059112E-2</v>
      </c>
      <c r="AS74" s="78">
        <f t="shared" si="37"/>
        <v>-2.9781941858059113E-2</v>
      </c>
      <c r="AU74" s="241">
        <f>AP74-E74</f>
        <v>9.9282267266066052E-2</v>
      </c>
    </row>
    <row r="75" spans="2:47">
      <c r="B75" s="74">
        <v>45352</v>
      </c>
      <c r="C75" s="75">
        <v>110.13</v>
      </c>
      <c r="D75" s="78">
        <f t="shared" si="38"/>
        <v>3.2630098452883116E-2</v>
      </c>
      <c r="E75" s="79">
        <f t="shared" si="55"/>
        <v>2.8505098452883116E-2</v>
      </c>
      <c r="F75" s="75">
        <v>259.8</v>
      </c>
      <c r="G75" s="78">
        <f t="shared" si="39"/>
        <v>7.5731853753467915E-2</v>
      </c>
      <c r="H75" s="78">
        <f t="shared" si="56"/>
        <v>7.1606853753467911E-2</v>
      </c>
      <c r="I75" s="78">
        <f t="shared" si="57"/>
        <v>3.2571446199627152E-2</v>
      </c>
      <c r="J75" s="79">
        <f t="shared" si="58"/>
        <v>1.1766059042372851E-2</v>
      </c>
      <c r="K75" s="75">
        <v>312.68</v>
      </c>
      <c r="L75" s="78">
        <f t="shared" si="59"/>
        <v>8.1937716262975746E-2</v>
      </c>
      <c r="M75" s="78">
        <f t="shared" si="60"/>
        <v>7.7812716262975742E-2</v>
      </c>
      <c r="N75" s="78">
        <f t="shared" si="61"/>
        <v>3.3773149577239647E-2</v>
      </c>
      <c r="O75" s="79">
        <f t="shared" si="62"/>
        <v>1.6770218174268187E-2</v>
      </c>
      <c r="P75" s="282">
        <v>86.1</v>
      </c>
      <c r="Q75" s="78">
        <f t="shared" si="41"/>
        <v>1.0682004930156141E-2</v>
      </c>
      <c r="R75" s="78">
        <f t="shared" si="63"/>
        <v>6.5570049301561413E-3</v>
      </c>
      <c r="S75" s="78">
        <f t="shared" ref="S75:S100" si="72">$G$17*O75</f>
        <v>1.9162545953737543E-2</v>
      </c>
      <c r="T75" s="79">
        <f t="shared" si="64"/>
        <v>-1.5028406573571615E-2</v>
      </c>
      <c r="U75" s="178">
        <v>45.3</v>
      </c>
      <c r="V75" s="78">
        <f t="shared" si="43"/>
        <v>-3.5195776506820042E-3</v>
      </c>
      <c r="W75" s="78">
        <f t="shared" si="65"/>
        <v>-7.6445776506820044E-3</v>
      </c>
      <c r="X75" s="78">
        <f t="shared" si="66"/>
        <v>4.8913181293420052E-2</v>
      </c>
      <c r="Y75" s="79">
        <f t="shared" si="67"/>
        <v>-6.2409602149956278E-2</v>
      </c>
      <c r="Z75" s="277">
        <v>75.400000000000006</v>
      </c>
      <c r="AA75" s="78">
        <f t="shared" si="44"/>
        <v>0.12002376708259077</v>
      </c>
      <c r="AB75" s="78">
        <f t="shared" si="68"/>
        <v>0.11589876708259077</v>
      </c>
      <c r="AC75" s="78">
        <f t="shared" si="69"/>
        <v>3.7053837877620822E-2</v>
      </c>
      <c r="AD75" s="79">
        <f t="shared" si="70"/>
        <v>5.9810051983574218E-2</v>
      </c>
      <c r="AE75" s="280">
        <v>415.05</v>
      </c>
      <c r="AF75" s="78">
        <f t="shared" si="45"/>
        <v>9.0314445582788228E-2</v>
      </c>
      <c r="AG75" s="78">
        <f t="shared" si="46"/>
        <v>8.6189445582788224E-2</v>
      </c>
      <c r="AH75" s="78">
        <f t="shared" si="47"/>
        <v>1.5294725079979565E-2</v>
      </c>
      <c r="AI75" s="79">
        <f t="shared" si="48"/>
        <v>5.185984328141293E-2</v>
      </c>
      <c r="AJ75" s="280">
        <v>53.93</v>
      </c>
      <c r="AK75" s="78">
        <f t="shared" si="49"/>
        <v>4.9630206305955493E-2</v>
      </c>
      <c r="AL75" s="78">
        <f t="shared" si="50"/>
        <v>4.550520630595549E-2</v>
      </c>
      <c r="AM75" s="78">
        <f t="shared" si="51"/>
        <v>2.1799642138714055E-2</v>
      </c>
      <c r="AN75" s="79">
        <f t="shared" si="52"/>
        <v>4.6706869458457111E-3</v>
      </c>
      <c r="AO75" s="179">
        <f t="shared" si="71"/>
        <v>187.31756711850855</v>
      </c>
      <c r="AP75" s="79">
        <f t="shared" si="53"/>
        <v>5.617424824047848E-2</v>
      </c>
      <c r="AQ75" s="178">
        <v>94.62</v>
      </c>
      <c r="AR75" s="78">
        <f t="shared" si="54"/>
        <v>4.6719048630281534E-3</v>
      </c>
      <c r="AS75" s="78">
        <f t="shared" si="37"/>
        <v>5.4690486302815325E-4</v>
      </c>
      <c r="AU75" s="241">
        <f>AP75-E75</f>
        <v>2.7669149787595364E-2</v>
      </c>
    </row>
    <row r="76" spans="2:47">
      <c r="B76" s="74">
        <v>45383</v>
      </c>
      <c r="C76" s="75">
        <v>106.22</v>
      </c>
      <c r="D76" s="78">
        <f t="shared" si="38"/>
        <v>-3.5503495868518975E-2</v>
      </c>
      <c r="E76" s="79">
        <f t="shared" si="55"/>
        <v>-3.9628495868518979E-2</v>
      </c>
      <c r="F76" s="75">
        <v>258.56</v>
      </c>
      <c r="G76" s="78">
        <f t="shared" si="39"/>
        <v>-4.7729022324866088E-3</v>
      </c>
      <c r="H76" s="78">
        <f t="shared" si="56"/>
        <v>-8.897902232486609E-3</v>
      </c>
      <c r="I76" s="78">
        <f t="shared" si="57"/>
        <v>-4.5281633504516472E-2</v>
      </c>
      <c r="J76" s="79">
        <f t="shared" si="58"/>
        <v>9.114382760561951E-3</v>
      </c>
      <c r="K76" s="75">
        <v>318.26</v>
      </c>
      <c r="L76" s="78">
        <f t="shared" si="59"/>
        <v>1.7845720864781756E-2</v>
      </c>
      <c r="M76" s="78">
        <f t="shared" si="60"/>
        <v>1.3720720864781755E-2</v>
      </c>
      <c r="N76" s="78">
        <f t="shared" si="61"/>
        <v>-4.6952271387547019E-2</v>
      </c>
      <c r="O76" s="79">
        <f t="shared" si="62"/>
        <v>3.3403643740860862E-2</v>
      </c>
      <c r="P76" s="282">
        <v>86.03</v>
      </c>
      <c r="Q76" s="78">
        <f t="shared" si="41"/>
        <v>-8.1300813008122752E-4</v>
      </c>
      <c r="R76" s="78">
        <f t="shared" si="63"/>
        <v>-4.9380081300812277E-3</v>
      </c>
      <c r="S76" s="78">
        <f t="shared" si="72"/>
        <v>3.816878537624966E-2</v>
      </c>
      <c r="T76" s="79">
        <f t="shared" si="64"/>
        <v>-4.5529659056321101E-2</v>
      </c>
      <c r="U76" s="178">
        <v>45.7</v>
      </c>
      <c r="V76" s="78">
        <f t="shared" si="43"/>
        <v>8.8300220750552327E-3</v>
      </c>
      <c r="W76" s="78">
        <f t="shared" si="65"/>
        <v>4.7050220750552325E-3</v>
      </c>
      <c r="X76" s="78">
        <f t="shared" si="66"/>
        <v>-6.8000319522010397E-2</v>
      </c>
      <c r="Y76" s="79">
        <f t="shared" si="67"/>
        <v>6.6853498391211408E-2</v>
      </c>
      <c r="Z76" s="277">
        <v>72.069999999999993</v>
      </c>
      <c r="AA76" s="78">
        <f t="shared" si="44"/>
        <v>-4.4164456233421912E-2</v>
      </c>
      <c r="AB76" s="78">
        <f t="shared" si="68"/>
        <v>-4.8289456233421915E-2</v>
      </c>
      <c r="AC76" s="78">
        <f t="shared" si="69"/>
        <v>-5.1513165747285823E-2</v>
      </c>
      <c r="AD76" s="79">
        <f t="shared" si="70"/>
        <v>-1.5811167707531819E-2</v>
      </c>
      <c r="AE76" s="280">
        <v>370.52</v>
      </c>
      <c r="AF76" s="78">
        <f t="shared" si="45"/>
        <v>-0.10728827852066025</v>
      </c>
      <c r="AG76" s="78">
        <f t="shared" si="46"/>
        <v>-0.11141327852066026</v>
      </c>
      <c r="AH76" s="78">
        <f t="shared" si="47"/>
        <v>1.1847805462685081E-2</v>
      </c>
      <c r="AI76" s="79">
        <f t="shared" si="48"/>
        <v>-0.14229596120474106</v>
      </c>
      <c r="AJ76" s="280">
        <v>55.82</v>
      </c>
      <c r="AK76" s="78">
        <f t="shared" si="49"/>
        <v>3.5045429260152083E-2</v>
      </c>
      <c r="AL76" s="78">
        <f t="shared" si="50"/>
        <v>3.0920429260152083E-2</v>
      </c>
      <c r="AM76" s="78">
        <f t="shared" si="51"/>
        <v>4.3421467276864384E-2</v>
      </c>
      <c r="AN76" s="79">
        <f t="shared" si="52"/>
        <v>-3.1535915238108024E-2</v>
      </c>
      <c r="AO76" s="179">
        <f t="shared" si="71"/>
        <v>185.7333920534727</v>
      </c>
      <c r="AP76" s="79">
        <f t="shared" si="53"/>
        <v>-8.4571622907829158E-3</v>
      </c>
      <c r="AQ76" s="178">
        <v>88.22</v>
      </c>
      <c r="AR76" s="78">
        <f t="shared" si="54"/>
        <v>-6.7638976960473496E-2</v>
      </c>
      <c r="AS76" s="78">
        <f t="shared" si="37"/>
        <v>-7.17639769604735E-2</v>
      </c>
      <c r="AU76" s="241">
        <f>AP76-E76</f>
        <v>3.1171333577736063E-2</v>
      </c>
    </row>
    <row r="77" spans="2:47">
      <c r="B77" s="74">
        <v>45413</v>
      </c>
      <c r="C77" s="75">
        <v>111.08</v>
      </c>
      <c r="D77" s="78">
        <f t="shared" si="38"/>
        <v>4.5754095273959683E-2</v>
      </c>
      <c r="E77" s="79">
        <f t="shared" si="55"/>
        <v>4.1629095273959679E-2</v>
      </c>
      <c r="F77" s="75">
        <v>275.94</v>
      </c>
      <c r="G77" s="78">
        <f t="shared" si="39"/>
        <v>6.7218440594059459E-2</v>
      </c>
      <c r="H77" s="78">
        <f t="shared" si="56"/>
        <v>6.3093440594059455E-2</v>
      </c>
      <c r="I77" s="78">
        <f t="shared" si="57"/>
        <v>4.7567625114369239E-2</v>
      </c>
      <c r="J77" s="79">
        <f t="shared" si="58"/>
        <v>-1.1743533031777692E-2</v>
      </c>
      <c r="K77" s="75">
        <v>332.85</v>
      </c>
      <c r="L77" s="78">
        <f t="shared" si="59"/>
        <v>4.5843021429020414E-2</v>
      </c>
      <c r="M77" s="78">
        <f t="shared" si="60"/>
        <v>4.171802142902041E-2</v>
      </c>
      <c r="N77" s="78">
        <f t="shared" si="61"/>
        <v>4.9322603245048516E-2</v>
      </c>
      <c r="O77" s="79">
        <f t="shared" si="62"/>
        <v>-3.4873930327496014E-2</v>
      </c>
      <c r="P77" s="282">
        <v>90.25</v>
      </c>
      <c r="Q77" s="78">
        <f t="shared" si="41"/>
        <v>4.9052656050215138E-2</v>
      </c>
      <c r="R77" s="78">
        <f t="shared" si="63"/>
        <v>4.4927656050215134E-2</v>
      </c>
      <c r="S77" s="78">
        <f t="shared" si="72"/>
        <v>-3.9848813267883781E-2</v>
      </c>
      <c r="T77" s="79">
        <f t="shared" si="64"/>
        <v>8.2353603768108699E-2</v>
      </c>
      <c r="U77" s="178">
        <v>49.86</v>
      </c>
      <c r="V77" s="78">
        <f t="shared" si="43"/>
        <v>9.1028446389496587E-2</v>
      </c>
      <c r="W77" s="78">
        <f t="shared" si="65"/>
        <v>8.6903446389496583E-2</v>
      </c>
      <c r="X77" s="78">
        <f t="shared" si="66"/>
        <v>7.1433238077811143E-2</v>
      </c>
      <c r="Y77" s="79">
        <f t="shared" si="67"/>
        <v>9.6183651058312225E-3</v>
      </c>
      <c r="Z77" s="277">
        <v>81.38</v>
      </c>
      <c r="AA77" s="78">
        <f t="shared" si="44"/>
        <v>0.1291799639239628</v>
      </c>
      <c r="AB77" s="78">
        <f t="shared" si="68"/>
        <v>0.12505496392396281</v>
      </c>
      <c r="AC77" s="78">
        <f t="shared" si="69"/>
        <v>5.4113749153436683E-2</v>
      </c>
      <c r="AD77" s="79">
        <f t="shared" si="70"/>
        <v>5.1906337549130405E-2</v>
      </c>
      <c r="AE77" s="280">
        <v>388.89</v>
      </c>
      <c r="AF77" s="78">
        <f t="shared" si="45"/>
        <v>4.9578970096081143E-2</v>
      </c>
      <c r="AG77" s="78">
        <f t="shared" si="46"/>
        <v>4.5453970096081139E-2</v>
      </c>
      <c r="AH77" s="78">
        <f t="shared" si="47"/>
        <v>-1.5265443471077136E-2</v>
      </c>
      <c r="AI77" s="79">
        <f t="shared" si="48"/>
        <v>4.1684536345762552E-2</v>
      </c>
      <c r="AJ77" s="280">
        <v>58.91</v>
      </c>
      <c r="AK77" s="78">
        <f t="shared" si="49"/>
        <v>5.5356503045503436E-2</v>
      </c>
      <c r="AL77" s="78">
        <f t="shared" si="50"/>
        <v>5.1231503045503432E-2</v>
      </c>
      <c r="AM77" s="78">
        <f t="shared" si="51"/>
        <v>-4.5332695926183754E-2</v>
      </c>
      <c r="AN77" s="79">
        <f t="shared" si="52"/>
        <v>7.7529321750291452E-2</v>
      </c>
      <c r="AO77" s="179">
        <f t="shared" si="71"/>
        <v>199.18209451660852</v>
      </c>
      <c r="AP77" s="79">
        <f t="shared" si="53"/>
        <v>7.240864076430549E-2</v>
      </c>
      <c r="AQ77" s="178">
        <v>90.45</v>
      </c>
      <c r="AR77" s="78">
        <f t="shared" si="54"/>
        <v>2.5277714803899398E-2</v>
      </c>
      <c r="AS77" s="78">
        <f t="shared" si="37"/>
        <v>2.1152714803899398E-2</v>
      </c>
      <c r="AU77" s="241">
        <f>AP77-E77</f>
        <v>3.0779545490345811E-2</v>
      </c>
    </row>
    <row r="78" spans="2:47">
      <c r="B78" s="74">
        <v>45444</v>
      </c>
      <c r="C78" s="75">
        <v>112.4</v>
      </c>
      <c r="D78" s="78">
        <f t="shared" si="38"/>
        <v>1.1883327331652982E-2</v>
      </c>
      <c r="E78" s="79">
        <f t="shared" si="55"/>
        <v>7.7583273316529817E-3</v>
      </c>
      <c r="F78" s="75">
        <v>254.09</v>
      </c>
      <c r="G78" s="78">
        <f t="shared" si="39"/>
        <v>-7.9183880553743591E-2</v>
      </c>
      <c r="H78" s="78">
        <f t="shared" si="56"/>
        <v>-8.3308880553743594E-2</v>
      </c>
      <c r="I78" s="78">
        <f t="shared" si="57"/>
        <v>8.8650787051210104E-3</v>
      </c>
      <c r="J78" s="79">
        <f t="shared" si="58"/>
        <v>-0.11944330777033252</v>
      </c>
      <c r="K78" s="75">
        <v>313.55</v>
      </c>
      <c r="L78" s="78">
        <f t="shared" si="59"/>
        <v>-5.7984076911521742E-2</v>
      </c>
      <c r="M78" s="78">
        <f t="shared" si="60"/>
        <v>-6.2109076911521746E-2</v>
      </c>
      <c r="N78" s="78">
        <f t="shared" si="61"/>
        <v>9.1921503051185099E-3</v>
      </c>
      <c r="O78" s="79">
        <f t="shared" si="62"/>
        <v>-9.8570575728108165E-2</v>
      </c>
      <c r="P78" s="282">
        <v>87.74</v>
      </c>
      <c r="Q78" s="78">
        <f t="shared" si="41"/>
        <v>-2.7811634349030556E-2</v>
      </c>
      <c r="R78" s="78">
        <f t="shared" si="63"/>
        <v>-3.193663434903056E-2</v>
      </c>
      <c r="S78" s="78">
        <f t="shared" si="72"/>
        <v>-0.11263199843007797</v>
      </c>
      <c r="T78" s="79">
        <f t="shared" si="64"/>
        <v>7.8272498531057194E-2</v>
      </c>
      <c r="U78" s="178">
        <v>48.14</v>
      </c>
      <c r="V78" s="78">
        <f t="shared" si="43"/>
        <v>-3.4496590453269138E-2</v>
      </c>
      <c r="W78" s="78">
        <f t="shared" si="65"/>
        <v>-3.8621590453269142E-2</v>
      </c>
      <c r="X78" s="78">
        <f t="shared" si="66"/>
        <v>1.3312863028138588E-2</v>
      </c>
      <c r="Y78" s="79">
        <f t="shared" si="67"/>
        <v>-5.778629668726195E-2</v>
      </c>
      <c r="Z78" s="277">
        <v>76.61</v>
      </c>
      <c r="AA78" s="78">
        <f t="shared" si="44"/>
        <v>-5.8613910051609652E-2</v>
      </c>
      <c r="AB78" s="78">
        <f t="shared" si="68"/>
        <v>-6.2738910051609656E-2</v>
      </c>
      <c r="AC78" s="78">
        <f t="shared" si="69"/>
        <v>1.0085066137335431E-2</v>
      </c>
      <c r="AD78" s="79">
        <f t="shared" si="70"/>
        <v>-9.1858853410340807E-2</v>
      </c>
      <c r="AE78" s="280">
        <v>365.48</v>
      </c>
      <c r="AF78" s="78">
        <f t="shared" si="45"/>
        <v>-6.019697086579745E-2</v>
      </c>
      <c r="AG78" s="78">
        <f t="shared" si="46"/>
        <v>-6.4321970865797454E-2</v>
      </c>
      <c r="AH78" s="78">
        <f t="shared" si="47"/>
        <v>-0.15526460885600002</v>
      </c>
      <c r="AI78" s="79">
        <f t="shared" si="48"/>
        <v>7.1907760768806839E-2</v>
      </c>
      <c r="AJ78" s="280">
        <v>56.94</v>
      </c>
      <c r="AK78" s="78">
        <f t="shared" si="49"/>
        <v>-3.3440841962315337E-2</v>
      </c>
      <c r="AL78" s="78">
        <f t="shared" si="50"/>
        <v>-3.7565841962315341E-2</v>
      </c>
      <c r="AM78" s="78">
        <f t="shared" si="51"/>
        <v>-0.1281321002476189</v>
      </c>
      <c r="AN78" s="79">
        <f t="shared" si="52"/>
        <v>7.1531381063907828E-2</v>
      </c>
      <c r="AO78" s="179">
        <f t="shared" si="71"/>
        <v>188.40377618936586</v>
      </c>
      <c r="AP78" s="79">
        <f t="shared" si="53"/>
        <v>-5.4112887774377366E-2</v>
      </c>
      <c r="AQ78" s="178">
        <v>91.78</v>
      </c>
      <c r="AR78" s="78">
        <f t="shared" si="54"/>
        <v>1.4704256495301271E-2</v>
      </c>
      <c r="AS78" s="78">
        <f t="shared" si="37"/>
        <v>1.0579256495301271E-2</v>
      </c>
      <c r="AU78" s="241">
        <f>AP78-E78</f>
        <v>-6.1871215106030344E-2</v>
      </c>
    </row>
    <row r="79" spans="2:47">
      <c r="B79" s="74">
        <v>45474</v>
      </c>
      <c r="C79" s="75">
        <v>114.13</v>
      </c>
      <c r="D79" s="78">
        <f t="shared" si="38"/>
        <v>1.5391459074733049E-2</v>
      </c>
      <c r="E79" s="79">
        <f t="shared" si="55"/>
        <v>1.1266459074733049E-2</v>
      </c>
      <c r="F79" s="75">
        <v>265.38</v>
      </c>
      <c r="G79" s="78">
        <f t="shared" si="39"/>
        <v>4.4433074894722369E-2</v>
      </c>
      <c r="H79" s="78">
        <f t="shared" si="56"/>
        <v>4.0308074894722365E-2</v>
      </c>
      <c r="I79" s="78">
        <f t="shared" si="57"/>
        <v>1.2873657188714334E-2</v>
      </c>
      <c r="J79" s="79">
        <f t="shared" si="58"/>
        <v>1.6506919454011872E-4</v>
      </c>
      <c r="K79" s="75">
        <v>304.79000000000002</v>
      </c>
      <c r="L79" s="78">
        <f t="shared" si="59"/>
        <v>-2.79381278902886E-2</v>
      </c>
      <c r="M79" s="78">
        <f t="shared" si="60"/>
        <v>-3.2063127890288604E-2</v>
      </c>
      <c r="N79" s="78">
        <f t="shared" si="61"/>
        <v>1.3348622814467866E-2</v>
      </c>
      <c r="O79" s="79">
        <f t="shared" si="62"/>
        <v>-7.2681099216224371E-2</v>
      </c>
      <c r="P79" s="282">
        <v>98.12</v>
      </c>
      <c r="Q79" s="78">
        <f t="shared" si="41"/>
        <v>0.11830408023706407</v>
      </c>
      <c r="R79" s="78">
        <f t="shared" si="63"/>
        <v>0.11417908023706407</v>
      </c>
      <c r="S79" s="78">
        <f t="shared" si="72"/>
        <v>-8.3049301400029876E-2</v>
      </c>
      <c r="T79" s="79">
        <f t="shared" si="64"/>
        <v>0.19480551608710373</v>
      </c>
      <c r="U79" s="178">
        <v>48.16</v>
      </c>
      <c r="V79" s="78">
        <f t="shared" si="43"/>
        <v>4.1545492314076782E-4</v>
      </c>
      <c r="W79" s="78">
        <f t="shared" si="65"/>
        <v>-3.7095450768592324E-3</v>
      </c>
      <c r="X79" s="78">
        <f t="shared" si="66"/>
        <v>1.9332624167855732E-2</v>
      </c>
      <c r="Y79" s="79">
        <f t="shared" si="67"/>
        <v>-2.8894012450569186E-2</v>
      </c>
      <c r="Z79" s="277">
        <v>72.63</v>
      </c>
      <c r="AA79" s="78">
        <f t="shared" si="44"/>
        <v>-5.1951442370447798E-2</v>
      </c>
      <c r="AB79" s="78">
        <f t="shared" si="68"/>
        <v>-5.6076442370447802E-2</v>
      </c>
      <c r="AC79" s="78">
        <f t="shared" si="69"/>
        <v>1.4645294023455099E-2</v>
      </c>
      <c r="AD79" s="79">
        <f t="shared" si="70"/>
        <v>-8.975661361529863E-2</v>
      </c>
      <c r="AE79" s="280">
        <v>395.65</v>
      </c>
      <c r="AF79" s="78">
        <f t="shared" si="45"/>
        <v>8.2548976688190834E-2</v>
      </c>
      <c r="AG79" s="78">
        <f t="shared" si="46"/>
        <v>7.842397668819083E-2</v>
      </c>
      <c r="AH79" s="78">
        <f t="shared" si="47"/>
        <v>2.1457379574356004E-4</v>
      </c>
      <c r="AI79" s="79">
        <f t="shared" si="48"/>
        <v>5.9174525671051546E-2</v>
      </c>
      <c r="AJ79" s="280">
        <v>70.94</v>
      </c>
      <c r="AK79" s="78">
        <f t="shared" si="49"/>
        <v>0.24587284861257475</v>
      </c>
      <c r="AL79" s="78">
        <f t="shared" si="50"/>
        <v>0.24174784861257476</v>
      </c>
      <c r="AM79" s="78">
        <f t="shared" si="51"/>
        <v>-9.4478314873276986E-2</v>
      </c>
      <c r="AN79" s="79">
        <f t="shared" si="52"/>
        <v>0.31719128626445603</v>
      </c>
      <c r="AO79" s="179">
        <f t="shared" si="71"/>
        <v>197.63664805428763</v>
      </c>
      <c r="AP79" s="79">
        <f t="shared" si="53"/>
        <v>4.9005768629826994E-2</v>
      </c>
      <c r="AQ79" s="178">
        <v>94.81</v>
      </c>
      <c r="AR79" s="78">
        <f t="shared" si="54"/>
        <v>3.3013728481150695E-2</v>
      </c>
      <c r="AS79" s="78">
        <f t="shared" si="37"/>
        <v>2.8888728481150695E-2</v>
      </c>
      <c r="AU79" s="241">
        <f>AP79-E79</f>
        <v>3.7739309555093942E-2</v>
      </c>
    </row>
    <row r="80" spans="2:47">
      <c r="B80" s="74">
        <v>45505</v>
      </c>
      <c r="C80" s="75">
        <v>116.98</v>
      </c>
      <c r="D80" s="78">
        <f t="shared" si="38"/>
        <v>2.497152370104283E-2</v>
      </c>
      <c r="E80" s="79">
        <f t="shared" si="55"/>
        <v>2.084652370104283E-2</v>
      </c>
      <c r="F80" s="75">
        <v>275.13</v>
      </c>
      <c r="G80" s="78">
        <f t="shared" si="39"/>
        <v>3.673976938729373E-2</v>
      </c>
      <c r="H80" s="78">
        <f t="shared" si="56"/>
        <v>3.2614769387293727E-2</v>
      </c>
      <c r="I80" s="78">
        <f t="shared" si="57"/>
        <v>2.3820350113861542E-2</v>
      </c>
      <c r="J80" s="79">
        <f t="shared" si="58"/>
        <v>-1.8474929238035728E-2</v>
      </c>
      <c r="K80" s="75">
        <v>306.93</v>
      </c>
      <c r="L80" s="78">
        <f t="shared" si="59"/>
        <v>7.0212277305685689E-3</v>
      </c>
      <c r="M80" s="78">
        <f t="shared" si="60"/>
        <v>2.8962277305685687E-3</v>
      </c>
      <c r="N80" s="78">
        <f t="shared" si="61"/>
        <v>2.4699187209773706E-2</v>
      </c>
      <c r="O80" s="79">
        <f t="shared" si="62"/>
        <v>-4.9072307990673053E-2</v>
      </c>
      <c r="P80" s="282">
        <v>100.28</v>
      </c>
      <c r="Q80" s="78">
        <f t="shared" si="41"/>
        <v>2.2013860578882882E-2</v>
      </c>
      <c r="R80" s="78">
        <f t="shared" si="63"/>
        <v>1.7888860578882882E-2</v>
      </c>
      <c r="S80" s="78">
        <f t="shared" si="72"/>
        <v>-5.6072637049533747E-2</v>
      </c>
      <c r="T80" s="79">
        <f t="shared" si="64"/>
        <v>7.1538632078426423E-2</v>
      </c>
      <c r="U80" s="178">
        <v>50.76</v>
      </c>
      <c r="V80" s="78">
        <f t="shared" si="43"/>
        <v>5.3986710963455087E-2</v>
      </c>
      <c r="W80" s="78">
        <f t="shared" si="65"/>
        <v>4.9861710963455083E-2</v>
      </c>
      <c r="X80" s="78">
        <f t="shared" si="66"/>
        <v>3.5771488206298496E-2</v>
      </c>
      <c r="Y80" s="79">
        <f t="shared" si="67"/>
        <v>8.2383795513023689E-3</v>
      </c>
      <c r="Z80" s="277">
        <v>67.959999999999994</v>
      </c>
      <c r="AA80" s="78">
        <f t="shared" si="44"/>
        <v>-6.4298499242737228E-2</v>
      </c>
      <c r="AB80" s="78">
        <f t="shared" si="68"/>
        <v>-6.8423499242737232E-2</v>
      </c>
      <c r="AC80" s="78">
        <f t="shared" si="69"/>
        <v>2.7098440330147081E-2</v>
      </c>
      <c r="AD80" s="79">
        <f t="shared" si="70"/>
        <v>-0.11455681679428004</v>
      </c>
      <c r="AE80" s="280">
        <v>399.92</v>
      </c>
      <c r="AF80" s="78">
        <f t="shared" si="45"/>
        <v>1.079236699102748E-2</v>
      </c>
      <c r="AG80" s="78">
        <f t="shared" si="46"/>
        <v>6.6673669910274798E-3</v>
      </c>
      <c r="AH80" s="78">
        <f t="shared" si="47"/>
        <v>-2.4015599662573796E-2</v>
      </c>
      <c r="AI80" s="79">
        <f t="shared" si="48"/>
        <v>1.1648089432205553E-2</v>
      </c>
      <c r="AJ80" s="280">
        <v>72.709999999999994</v>
      </c>
      <c r="AK80" s="78">
        <f t="shared" si="49"/>
        <v>2.495066253171685E-2</v>
      </c>
      <c r="AL80" s="78">
        <f t="shared" si="50"/>
        <v>2.0825662531716849E-2</v>
      </c>
      <c r="AM80" s="78">
        <f t="shared" si="51"/>
        <v>-6.378919713512389E-2</v>
      </c>
      <c r="AN80" s="79">
        <f t="shared" si="52"/>
        <v>6.5579982445445023E-2</v>
      </c>
      <c r="AO80" s="179">
        <f t="shared" si="71"/>
        <v>199.55776545367291</v>
      </c>
      <c r="AP80" s="79">
        <f t="shared" si="53"/>
        <v>9.7204512336071646E-3</v>
      </c>
      <c r="AQ80" s="178">
        <v>96.49</v>
      </c>
      <c r="AR80" s="78">
        <f t="shared" si="54"/>
        <v>1.7719649825967743E-2</v>
      </c>
      <c r="AS80" s="78">
        <f t="shared" si="37"/>
        <v>1.3594649825967742E-2</v>
      </c>
      <c r="AU80" s="241">
        <f>AP80-E80</f>
        <v>-1.1126072467435666E-2</v>
      </c>
    </row>
    <row r="81" spans="2:47">
      <c r="B81" s="74">
        <v>45536</v>
      </c>
      <c r="C81" s="75">
        <v>119.55</v>
      </c>
      <c r="D81" s="78">
        <f t="shared" si="38"/>
        <v>2.1969567447426952E-2</v>
      </c>
      <c r="E81" s="79">
        <f t="shared" si="55"/>
        <v>1.7844567447426952E-2</v>
      </c>
      <c r="F81" s="75">
        <v>298.14999999999998</v>
      </c>
      <c r="G81" s="78">
        <f t="shared" si="39"/>
        <v>8.3669538036564406E-2</v>
      </c>
      <c r="H81" s="78">
        <f t="shared" si="56"/>
        <v>7.9544538036564402E-2</v>
      </c>
      <c r="I81" s="78">
        <f t="shared" si="57"/>
        <v>2.039015474828847E-2</v>
      </c>
      <c r="J81" s="79">
        <f t="shared" si="58"/>
        <v>3.1885034776808027E-2</v>
      </c>
      <c r="K81" s="75">
        <v>331.44</v>
      </c>
      <c r="L81" s="78">
        <f t="shared" si="59"/>
        <v>7.9855341608835895E-2</v>
      </c>
      <c r="M81" s="78">
        <f t="shared" si="60"/>
        <v>7.5730341608835891E-2</v>
      </c>
      <c r="N81" s="78">
        <f t="shared" si="61"/>
        <v>2.1142436906129533E-2</v>
      </c>
      <c r="O81" s="79">
        <f t="shared" si="62"/>
        <v>2.7318556191238449E-2</v>
      </c>
      <c r="P81" s="282">
        <v>102.6</v>
      </c>
      <c r="Q81" s="78">
        <f t="shared" si="41"/>
        <v>2.3135221380135462E-2</v>
      </c>
      <c r="R81" s="78">
        <f t="shared" si="63"/>
        <v>1.9010221380135462E-2</v>
      </c>
      <c r="S81" s="78">
        <f t="shared" si="72"/>
        <v>3.1215639711092317E-2</v>
      </c>
      <c r="T81" s="79">
        <f t="shared" si="64"/>
        <v>-1.4628283880947068E-2</v>
      </c>
      <c r="U81" s="178">
        <v>52.73</v>
      </c>
      <c r="V81" s="78">
        <f t="shared" si="43"/>
        <v>3.8810086682427025E-2</v>
      </c>
      <c r="W81" s="78">
        <f t="shared" si="65"/>
        <v>3.4685086682427022E-2</v>
      </c>
      <c r="X81" s="78">
        <f t="shared" si="66"/>
        <v>3.062029636913513E-2</v>
      </c>
      <c r="Y81" s="79">
        <f t="shared" si="67"/>
        <v>-1.7870528925623304E-3</v>
      </c>
      <c r="Z81" s="277">
        <v>70.260000000000005</v>
      </c>
      <c r="AA81" s="78">
        <f t="shared" si="44"/>
        <v>3.3843437316068536E-2</v>
      </c>
      <c r="AB81" s="78">
        <f t="shared" si="68"/>
        <v>2.9718437316068536E-2</v>
      </c>
      <c r="AC81" s="78">
        <f t="shared" si="69"/>
        <v>2.3196191035304105E-2</v>
      </c>
      <c r="AD81" s="79">
        <f t="shared" si="70"/>
        <v>-1.2512630940631292E-2</v>
      </c>
      <c r="AE81" s="280">
        <v>428.35</v>
      </c>
      <c r="AF81" s="78">
        <f t="shared" si="45"/>
        <v>7.1089217843568697E-2</v>
      </c>
      <c r="AG81" s="78">
        <f t="shared" si="46"/>
        <v>6.6964217843568694E-2</v>
      </c>
      <c r="AH81" s="78">
        <f t="shared" si="47"/>
        <v>4.1447424266750729E-2</v>
      </c>
      <c r="AI81" s="79">
        <f t="shared" si="48"/>
        <v>6.4819163554222375E-3</v>
      </c>
      <c r="AJ81" s="280">
        <v>74.099999999999994</v>
      </c>
      <c r="AK81" s="78">
        <f t="shared" si="49"/>
        <v>1.911704029707062E-2</v>
      </c>
      <c r="AL81" s="78">
        <f t="shared" si="50"/>
        <v>1.499204029707062E-2</v>
      </c>
      <c r="AM81" s="78">
        <f t="shared" si="51"/>
        <v>3.551144907757512E-2</v>
      </c>
      <c r="AN81" s="79">
        <f t="shared" si="52"/>
        <v>-3.9554286001900224E-2</v>
      </c>
      <c r="AO81" s="179">
        <f t="shared" si="71"/>
        <v>208.33459786665543</v>
      </c>
      <c r="AP81" s="79">
        <f t="shared" si="53"/>
        <v>4.3981412565075199E-2</v>
      </c>
      <c r="AQ81" s="178">
        <v>98.1</v>
      </c>
      <c r="AR81" s="78">
        <f t="shared" si="54"/>
        <v>1.6685666908487828E-2</v>
      </c>
      <c r="AS81" s="78">
        <f t="shared" si="37"/>
        <v>1.2560666908487828E-2</v>
      </c>
      <c r="AU81" s="241">
        <f>AP81-E81</f>
        <v>2.6136845117648248E-2</v>
      </c>
    </row>
    <row r="82" spans="2:47">
      <c r="B82" s="74">
        <v>45566</v>
      </c>
      <c r="C82" s="75">
        <v>117.05</v>
      </c>
      <c r="D82" s="78">
        <f t="shared" si="38"/>
        <v>-2.0911752404851547E-2</v>
      </c>
      <c r="E82" s="79">
        <f t="shared" si="55"/>
        <v>-2.5036752404851547E-2</v>
      </c>
      <c r="F82" s="75">
        <v>301.63</v>
      </c>
      <c r="G82" s="78">
        <f t="shared" si="39"/>
        <v>1.167197719268831E-2</v>
      </c>
      <c r="H82" s="78">
        <f t="shared" si="56"/>
        <v>7.5469771926883096E-3</v>
      </c>
      <c r="I82" s="78">
        <f t="shared" si="57"/>
        <v>-2.8608328973707745E-2</v>
      </c>
      <c r="J82" s="79">
        <f t="shared" si="58"/>
        <v>8.8859576549281429E-3</v>
      </c>
      <c r="K82" s="75">
        <v>331.58</v>
      </c>
      <c r="L82" s="78">
        <f t="shared" si="59"/>
        <v>4.2239922761289073E-4</v>
      </c>
      <c r="M82" s="78">
        <f t="shared" si="60"/>
        <v>-3.7026007723871095E-3</v>
      </c>
      <c r="N82" s="78">
        <f t="shared" si="61"/>
        <v>-2.9663815590569957E-2</v>
      </c>
      <c r="O82" s="79">
        <f t="shared" si="62"/>
        <v>-1.3081336932850643E-3</v>
      </c>
      <c r="P82" s="282">
        <v>98.75</v>
      </c>
      <c r="Q82" s="78">
        <f t="shared" si="41"/>
        <v>-3.7524366471734849E-2</v>
      </c>
      <c r="R82" s="78">
        <f t="shared" si="63"/>
        <v>-4.1649366471734853E-2</v>
      </c>
      <c r="S82" s="78">
        <f t="shared" si="72"/>
        <v>-1.4947433450609436E-3</v>
      </c>
      <c r="T82" s="79">
        <f t="shared" si="64"/>
        <v>-4.2577488676664124E-2</v>
      </c>
      <c r="U82" s="178">
        <v>51.69</v>
      </c>
      <c r="V82" s="78">
        <f t="shared" si="43"/>
        <v>-1.9723117769770537E-2</v>
      </c>
      <c r="W82" s="78">
        <f t="shared" si="65"/>
        <v>-2.3848117769770538E-2</v>
      </c>
      <c r="X82" s="78">
        <f t="shared" si="66"/>
        <v>-4.2961690218372518E-2</v>
      </c>
      <c r="Y82" s="79">
        <f t="shared" si="67"/>
        <v>1.3261729242747759E-2</v>
      </c>
      <c r="Z82" s="277">
        <v>74.569999999999993</v>
      </c>
      <c r="AA82" s="78">
        <f t="shared" si="44"/>
        <v>6.1343580984912993E-2</v>
      </c>
      <c r="AB82" s="78">
        <f t="shared" si="68"/>
        <v>5.7218580984912989E-2</v>
      </c>
      <c r="AC82" s="78">
        <f t="shared" si="69"/>
        <v>-3.2545327500795578E-2</v>
      </c>
      <c r="AD82" s="79">
        <f t="shared" si="70"/>
        <v>7.0729031264312847E-2</v>
      </c>
      <c r="AE82" s="280">
        <v>427.03</v>
      </c>
      <c r="AF82" s="78">
        <f t="shared" si="45"/>
        <v>-3.081592155947388E-3</v>
      </c>
      <c r="AG82" s="78">
        <f t="shared" si="46"/>
        <v>-7.2065921559473882E-3</v>
      </c>
      <c r="AH82" s="78">
        <f t="shared" si="47"/>
        <v>1.1550875183867628E-2</v>
      </c>
      <c r="AI82" s="79">
        <f t="shared" si="48"/>
        <v>-3.7792344561210736E-2</v>
      </c>
      <c r="AJ82" s="280">
        <v>81.97</v>
      </c>
      <c r="AK82" s="78">
        <f t="shared" si="49"/>
        <v>0.10620782726045896</v>
      </c>
      <c r="AL82" s="78">
        <f t="shared" si="50"/>
        <v>0.10208282726045896</v>
      </c>
      <c r="AM82" s="78">
        <f t="shared" si="51"/>
        <v>-1.7004457596720053E-3</v>
      </c>
      <c r="AN82" s="79">
        <f t="shared" si="52"/>
        <v>8.4748395798735235E-2</v>
      </c>
      <c r="AO82" s="179">
        <f t="shared" si="71"/>
        <v>213.60459535942809</v>
      </c>
      <c r="AP82" s="79">
        <f t="shared" si="53"/>
        <v>2.5295834425666294E-2</v>
      </c>
      <c r="AQ82" s="178">
        <v>92.45</v>
      </c>
      <c r="AR82" s="78">
        <f t="shared" si="54"/>
        <v>-5.7594291539245557E-2</v>
      </c>
      <c r="AS82" s="78">
        <f t="shared" si="37"/>
        <v>-6.171929153924556E-2</v>
      </c>
      <c r="AU82" s="241">
        <f>AP82-E82</f>
        <v>5.0332586830517841E-2</v>
      </c>
    </row>
    <row r="83" spans="2:47">
      <c r="B83" s="74">
        <v>45597</v>
      </c>
      <c r="C83" s="75">
        <v>121.77</v>
      </c>
      <c r="D83" s="78">
        <f t="shared" si="38"/>
        <v>4.0324647586501561E-2</v>
      </c>
      <c r="E83" s="79">
        <f t="shared" si="55"/>
        <v>3.6199647586501557E-2</v>
      </c>
      <c r="F83" s="75">
        <v>344.52</v>
      </c>
      <c r="G83" s="78">
        <f t="shared" si="39"/>
        <v>0.14219407883831181</v>
      </c>
      <c r="H83" s="78">
        <f t="shared" si="56"/>
        <v>0.13806907883831182</v>
      </c>
      <c r="I83" s="78">
        <f t="shared" si="57"/>
        <v>4.136364853319572E-2</v>
      </c>
      <c r="J83" s="79">
        <f t="shared" si="58"/>
        <v>6.9436081793648186E-2</v>
      </c>
      <c r="K83" s="75">
        <v>375.42</v>
      </c>
      <c r="L83" s="78">
        <f t="shared" si="59"/>
        <v>0.13221545328427542</v>
      </c>
      <c r="M83" s="78">
        <f t="shared" si="60"/>
        <v>0.12809045328427543</v>
      </c>
      <c r="N83" s="78">
        <f t="shared" si="61"/>
        <v>4.2889734782116606E-2</v>
      </c>
      <c r="O83" s="79">
        <f t="shared" si="62"/>
        <v>5.7931369990690915E-2</v>
      </c>
      <c r="P83" s="282">
        <v>99.86</v>
      </c>
      <c r="Q83" s="78">
        <f t="shared" si="41"/>
        <v>1.1240506329113886E-2</v>
      </c>
      <c r="R83" s="78">
        <f t="shared" si="63"/>
        <v>7.1155063291138861E-3</v>
      </c>
      <c r="S83" s="78">
        <f t="shared" si="72"/>
        <v>6.619547390939233E-2</v>
      </c>
      <c r="T83" s="79">
        <f t="shared" si="64"/>
        <v>-6.1502833130268657E-2</v>
      </c>
      <c r="U83" s="178">
        <v>51.57</v>
      </c>
      <c r="V83" s="78">
        <f t="shared" si="43"/>
        <v>-2.3215322112594139E-3</v>
      </c>
      <c r="W83" s="78">
        <f t="shared" si="65"/>
        <v>-6.4465322112594141E-3</v>
      </c>
      <c r="X83" s="78">
        <f t="shared" si="66"/>
        <v>6.2116604441244332E-2</v>
      </c>
      <c r="Y83" s="79">
        <f t="shared" si="67"/>
        <v>-7.441497985835796E-2</v>
      </c>
      <c r="Z83" s="277">
        <v>78.31</v>
      </c>
      <c r="AA83" s="78">
        <f t="shared" si="44"/>
        <v>5.0154217513745492E-2</v>
      </c>
      <c r="AB83" s="78">
        <f t="shared" si="68"/>
        <v>4.6029217513745488E-2</v>
      </c>
      <c r="AC83" s="78">
        <f t="shared" si="69"/>
        <v>4.7055998600193175E-2</v>
      </c>
      <c r="AD83" s="79">
        <f t="shared" si="70"/>
        <v>-2.006165830784341E-2</v>
      </c>
      <c r="AE83" s="280">
        <v>460.09</v>
      </c>
      <c r="AF83" s="78">
        <f t="shared" si="45"/>
        <v>7.7418448352574831E-2</v>
      </c>
      <c r="AG83" s="78">
        <f t="shared" si="46"/>
        <v>7.3293448352574828E-2</v>
      </c>
      <c r="AH83" s="78">
        <f t="shared" si="47"/>
        <v>9.0260109849886458E-2</v>
      </c>
      <c r="AI83" s="79">
        <f t="shared" si="48"/>
        <v>-3.6001538718707357E-2</v>
      </c>
      <c r="AJ83" s="280">
        <v>80.77</v>
      </c>
      <c r="AK83" s="78">
        <f t="shared" si="49"/>
        <v>-1.4639502256923342E-2</v>
      </c>
      <c r="AL83" s="78">
        <f t="shared" si="50"/>
        <v>-1.8764502256923343E-2</v>
      </c>
      <c r="AM83" s="78">
        <f t="shared" si="51"/>
        <v>7.5305110600185132E-2</v>
      </c>
      <c r="AN83" s="79">
        <f t="shared" si="52"/>
        <v>-0.11310449007850421</v>
      </c>
      <c r="AO83" s="179">
        <f t="shared" si="71"/>
        <v>223.47306908980519</v>
      </c>
      <c r="AP83" s="79">
        <f t="shared" si="53"/>
        <v>4.6199725777301907E-2</v>
      </c>
      <c r="AQ83" s="178">
        <v>93.97</v>
      </c>
      <c r="AR83" s="78">
        <f t="shared" si="54"/>
        <v>1.6441319632233498E-2</v>
      </c>
      <c r="AS83" s="78">
        <f t="shared" si="37"/>
        <v>1.2316319632233497E-2</v>
      </c>
      <c r="AU83" s="241">
        <f>AP83-E83</f>
        <v>1.000007819080035E-2</v>
      </c>
    </row>
    <row r="84" spans="2:47">
      <c r="B84" s="74">
        <v>45627</v>
      </c>
      <c r="C84" s="75">
        <v>117.5</v>
      </c>
      <c r="D84" s="78">
        <f t="shared" si="38"/>
        <v>-3.5066108236839866E-2</v>
      </c>
      <c r="E84" s="79">
        <f t="shared" si="55"/>
        <v>-3.9191108236839869E-2</v>
      </c>
      <c r="F84" s="75">
        <v>316.05</v>
      </c>
      <c r="G84" s="78">
        <f t="shared" si="39"/>
        <v>-8.2636711947056685E-2</v>
      </c>
      <c r="H84" s="78">
        <f t="shared" si="56"/>
        <v>-8.6761711947056688E-2</v>
      </c>
      <c r="I84" s="78">
        <f t="shared" si="57"/>
        <v>-4.4781851062538007E-2</v>
      </c>
      <c r="J84" s="79">
        <f t="shared" si="58"/>
        <v>-6.9249209395986583E-2</v>
      </c>
      <c r="K84" s="75">
        <v>331.87</v>
      </c>
      <c r="L84" s="78">
        <f t="shared" si="59"/>
        <v>-0.11600340951467691</v>
      </c>
      <c r="M84" s="78">
        <f t="shared" si="60"/>
        <v>-0.12012840951467692</v>
      </c>
      <c r="N84" s="78">
        <f t="shared" si="61"/>
        <v>-4.6434049781249112E-2</v>
      </c>
      <c r="O84" s="79">
        <f t="shared" si="62"/>
        <v>-0.10096370824489571</v>
      </c>
      <c r="P84" s="282">
        <v>92.23</v>
      </c>
      <c r="Q84" s="78">
        <f t="shared" si="41"/>
        <v>-7.6406969757660703E-2</v>
      </c>
      <c r="R84" s="78">
        <f t="shared" si="63"/>
        <v>-8.0531969757660707E-2</v>
      </c>
      <c r="S84" s="78">
        <f t="shared" si="72"/>
        <v>-0.11536651931405127</v>
      </c>
      <c r="T84" s="79">
        <f t="shared" si="64"/>
        <v>3.2411684006400349E-2</v>
      </c>
      <c r="U84" s="178">
        <v>49.64</v>
      </c>
      <c r="V84" s="78">
        <f t="shared" si="43"/>
        <v>-3.7424859414388223E-2</v>
      </c>
      <c r="W84" s="78">
        <f t="shared" si="65"/>
        <v>-4.1549859414388227E-2</v>
      </c>
      <c r="X84" s="78">
        <f t="shared" si="66"/>
        <v>-6.7249786400394182E-2</v>
      </c>
      <c r="Y84" s="79">
        <f t="shared" si="67"/>
        <v>1.9848083780151737E-2</v>
      </c>
      <c r="Z84" s="277">
        <v>68.16</v>
      </c>
      <c r="AA84" s="78">
        <f t="shared" si="44"/>
        <v>-0.12961307623547447</v>
      </c>
      <c r="AB84" s="78">
        <f t="shared" si="68"/>
        <v>-0.13373807623547446</v>
      </c>
      <c r="AC84" s="78">
        <f t="shared" si="69"/>
        <v>-5.0944604638096781E-2</v>
      </c>
      <c r="AD84" s="79">
        <f t="shared" si="70"/>
        <v>-0.1018283488187734</v>
      </c>
      <c r="AE84" s="280">
        <v>418.89</v>
      </c>
      <c r="AF84" s="78">
        <f t="shared" si="45"/>
        <v>-8.9547697189680253E-2</v>
      </c>
      <c r="AG84" s="78">
        <f t="shared" si="46"/>
        <v>-9.3672697189680257E-2</v>
      </c>
      <c r="AH84" s="78">
        <f t="shared" si="47"/>
        <v>-9.0017194024207034E-2</v>
      </c>
      <c r="AI84" s="79">
        <f t="shared" si="48"/>
        <v>-2.269038038686895E-2</v>
      </c>
      <c r="AJ84" s="280">
        <v>79.36</v>
      </c>
      <c r="AK84" s="78">
        <f t="shared" si="49"/>
        <v>-1.7456976600222829E-2</v>
      </c>
      <c r="AL84" s="78">
        <f t="shared" si="50"/>
        <v>-2.1581976600222829E-2</v>
      </c>
      <c r="AM84" s="78">
        <f t="shared" si="51"/>
        <v>-0.13124293827693781</v>
      </c>
      <c r="AN84" s="79">
        <f t="shared" si="52"/>
        <v>9.062608445531925E-2</v>
      </c>
      <c r="AO84" s="179">
        <f t="shared" si="71"/>
        <v>206.48076482679289</v>
      </c>
      <c r="AP84" s="79">
        <f t="shared" si="53"/>
        <v>-7.6037369210621708E-2</v>
      </c>
      <c r="AQ84" s="178">
        <v>87.33</v>
      </c>
      <c r="AR84" s="78">
        <f t="shared" si="54"/>
        <v>-7.0660849207193843E-2</v>
      </c>
      <c r="AS84" s="78">
        <f t="shared" si="37"/>
        <v>-7.4785849207193847E-2</v>
      </c>
      <c r="AU84" s="241">
        <f>AP84-E84</f>
        <v>-3.6846260973781839E-2</v>
      </c>
    </row>
    <row r="85" spans="2:47">
      <c r="B85" s="74">
        <v>45658</v>
      </c>
      <c r="C85" s="75">
        <v>121.19</v>
      </c>
      <c r="D85" s="78">
        <f t="shared" si="38"/>
        <v>3.1404255319148922E-2</v>
      </c>
      <c r="E85" s="79">
        <f t="shared" si="55"/>
        <v>2.7279255319148921E-2</v>
      </c>
      <c r="F85" s="75">
        <v>307.61</v>
      </c>
      <c r="G85" s="78">
        <f t="shared" si="39"/>
        <v>-2.6704635342509109E-2</v>
      </c>
      <c r="H85" s="78">
        <f t="shared" si="56"/>
        <v>-3.0829635342509109E-2</v>
      </c>
      <c r="I85" s="78">
        <f t="shared" si="57"/>
        <v>3.1170732437995948E-2</v>
      </c>
      <c r="J85" s="79">
        <f t="shared" si="58"/>
        <v>-8.9269716291972973E-2</v>
      </c>
      <c r="K85" s="75">
        <v>326.44</v>
      </c>
      <c r="L85" s="78">
        <f t="shared" si="59"/>
        <v>-1.6361828426793679E-2</v>
      </c>
      <c r="M85" s="78">
        <f t="shared" si="60"/>
        <v>-2.0486828426793679E-2</v>
      </c>
      <c r="N85" s="78">
        <f t="shared" si="61"/>
        <v>3.2320757347047237E-2</v>
      </c>
      <c r="O85" s="79">
        <f t="shared" si="62"/>
        <v>-8.0076934285308821E-2</v>
      </c>
      <c r="P85" s="282">
        <v>98.36</v>
      </c>
      <c r="Q85" s="78">
        <f t="shared" si="41"/>
        <v>6.6464274097365328E-2</v>
      </c>
      <c r="R85" s="78">
        <f t="shared" si="63"/>
        <v>6.2339274097365324E-2</v>
      </c>
      <c r="S85" s="78">
        <f t="shared" si="72"/>
        <v>-9.1500177107481956E-2</v>
      </c>
      <c r="T85" s="79">
        <f t="shared" si="64"/>
        <v>0.15141658565485705</v>
      </c>
      <c r="U85" s="178">
        <v>50.47</v>
      </c>
      <c r="V85" s="78">
        <f t="shared" si="43"/>
        <v>1.6720386784850882E-2</v>
      </c>
      <c r="W85" s="78">
        <f t="shared" si="65"/>
        <v>1.2595386784850882E-2</v>
      </c>
      <c r="X85" s="78">
        <f t="shared" si="66"/>
        <v>4.6809701891770403E-2</v>
      </c>
      <c r="Y85" s="79">
        <f t="shared" si="67"/>
        <v>-4.0066158312773742E-2</v>
      </c>
      <c r="Z85" s="277">
        <v>65.09</v>
      </c>
      <c r="AA85" s="78">
        <f t="shared" si="44"/>
        <v>-4.5041079812206508E-2</v>
      </c>
      <c r="AB85" s="78">
        <f t="shared" si="68"/>
        <v>-4.9166079812206512E-2</v>
      </c>
      <c r="AC85" s="78">
        <f t="shared" si="69"/>
        <v>3.5460361790672336E-2</v>
      </c>
      <c r="AD85" s="79">
        <f t="shared" si="70"/>
        <v>-0.10366131882427457</v>
      </c>
      <c r="AE85" s="280">
        <v>423.01</v>
      </c>
      <c r="AF85" s="78">
        <f t="shared" si="45"/>
        <v>9.8355176776718789E-3</v>
      </c>
      <c r="AG85" s="78">
        <f t="shared" si="46"/>
        <v>5.7105176776718787E-3</v>
      </c>
      <c r="AH85" s="78">
        <f t="shared" si="47"/>
        <v>-0.11604189335923554</v>
      </c>
      <c r="AI85" s="79">
        <f t="shared" si="48"/>
        <v>0.10271753381551169</v>
      </c>
      <c r="AJ85" s="280">
        <v>78.75</v>
      </c>
      <c r="AK85" s="78">
        <f t="shared" si="49"/>
        <v>-7.6864919354838745E-3</v>
      </c>
      <c r="AL85" s="78">
        <f t="shared" si="50"/>
        <v>-1.1811491935483875E-2</v>
      </c>
      <c r="AM85" s="78">
        <f t="shared" si="51"/>
        <v>-0.10409217655042408</v>
      </c>
      <c r="AN85" s="79">
        <f t="shared" si="52"/>
        <v>7.3245807393544471E-2</v>
      </c>
      <c r="AO85" s="179">
        <f t="shared" si="71"/>
        <v>203.59546445636795</v>
      </c>
      <c r="AP85" s="79">
        <f t="shared" si="53"/>
        <v>-1.3973700518037443E-2</v>
      </c>
      <c r="AQ85" s="178">
        <v>87.76</v>
      </c>
      <c r="AR85" s="78">
        <f t="shared" si="54"/>
        <v>4.9238520554220067E-3</v>
      </c>
      <c r="AS85" s="78">
        <f t="shared" si="37"/>
        <v>7.9885205542200646E-4</v>
      </c>
      <c r="AU85" s="241">
        <f>AP85-E85</f>
        <v>-4.1252955837186363E-2</v>
      </c>
    </row>
    <row r="86" spans="2:47">
      <c r="B86" s="74">
        <v>45689</v>
      </c>
      <c r="C86" s="75">
        <v>120.83</v>
      </c>
      <c r="D86" s="78">
        <f t="shared" si="38"/>
        <v>-2.9705421239376584E-3</v>
      </c>
      <c r="E86" s="79">
        <f t="shared" si="55"/>
        <v>-7.0955421239376586E-3</v>
      </c>
      <c r="F86" s="75">
        <v>259.63</v>
      </c>
      <c r="G86" s="78">
        <f t="shared" si="39"/>
        <v>-0.15597672377360949</v>
      </c>
      <c r="H86" s="78">
        <f t="shared" si="56"/>
        <v>-0.16010172377360948</v>
      </c>
      <c r="I86" s="78">
        <f t="shared" si="57"/>
        <v>-8.1077449681163285E-3</v>
      </c>
      <c r="J86" s="79">
        <f t="shared" si="58"/>
        <v>-0.17926332731696107</v>
      </c>
      <c r="K86" s="75">
        <v>293.32</v>
      </c>
      <c r="L86" s="78">
        <f t="shared" si="59"/>
        <v>-0.10145815463791208</v>
      </c>
      <c r="M86" s="78">
        <f t="shared" si="60"/>
        <v>-0.10558315463791208</v>
      </c>
      <c r="N86" s="78">
        <f t="shared" si="61"/>
        <v>-8.4068752079371686E-3</v>
      </c>
      <c r="O86" s="79">
        <f t="shared" si="62"/>
        <v>-0.12444562794144282</v>
      </c>
      <c r="P86" s="282">
        <v>106.05</v>
      </c>
      <c r="Q86" s="78">
        <f t="shared" si="41"/>
        <v>7.8182187881252529E-2</v>
      </c>
      <c r="R86" s="78">
        <f t="shared" si="63"/>
        <v>7.4057187881252526E-2</v>
      </c>
      <c r="S86" s="78">
        <f t="shared" si="72"/>
        <v>-0.14219821348708753</v>
      </c>
      <c r="T86" s="79">
        <f t="shared" si="64"/>
        <v>0.21383253581834982</v>
      </c>
      <c r="U86" s="178">
        <v>48.25</v>
      </c>
      <c r="V86" s="78">
        <f t="shared" si="43"/>
        <v>-4.3986526649494762E-2</v>
      </c>
      <c r="W86" s="78">
        <f t="shared" si="65"/>
        <v>-4.8111526649494765E-2</v>
      </c>
      <c r="X86" s="78">
        <f t="shared" si="66"/>
        <v>-1.2175560061893345E-2</v>
      </c>
      <c r="Y86" s="79">
        <f t="shared" si="67"/>
        <v>-4.1787809793455637E-2</v>
      </c>
      <c r="Z86" s="277">
        <v>60.34</v>
      </c>
      <c r="AA86" s="78">
        <f t="shared" si="44"/>
        <v>-7.2975879551390399E-2</v>
      </c>
      <c r="AB86" s="78">
        <f t="shared" si="68"/>
        <v>-7.7100879551390403E-2</v>
      </c>
      <c r="AC86" s="78">
        <f t="shared" si="69"/>
        <v>-9.2235102414677979E-3</v>
      </c>
      <c r="AD86" s="79">
        <f t="shared" si="70"/>
        <v>-8.6912246531318335E-2</v>
      </c>
      <c r="AE86" s="280">
        <v>371.59</v>
      </c>
      <c r="AF86" s="78">
        <f t="shared" si="45"/>
        <v>-0.12155740999030762</v>
      </c>
      <c r="AG86" s="78">
        <f t="shared" si="46"/>
        <v>-0.12568240999030761</v>
      </c>
      <c r="AH86" s="78">
        <f t="shared" si="47"/>
        <v>-0.23302477901575933</v>
      </c>
      <c r="AI86" s="79">
        <f t="shared" si="48"/>
        <v>8.8307491804056004E-2</v>
      </c>
      <c r="AJ86" s="280">
        <v>80.180000000000007</v>
      </c>
      <c r="AK86" s="78">
        <f t="shared" si="49"/>
        <v>1.8158730158730263E-2</v>
      </c>
      <c r="AL86" s="78">
        <f t="shared" si="50"/>
        <v>1.4033730158730263E-2</v>
      </c>
      <c r="AM86" s="78">
        <f t="shared" si="51"/>
        <v>-0.1617671354457135</v>
      </c>
      <c r="AN86" s="79">
        <f t="shared" si="52"/>
        <v>0.15676598838304803</v>
      </c>
      <c r="AO86" s="179">
        <f t="shared" si="71"/>
        <v>189.83594096532983</v>
      </c>
      <c r="AP86" s="79">
        <f t="shared" si="53"/>
        <v>-6.7582662156930748E-2</v>
      </c>
      <c r="AQ86" s="178">
        <v>92.43</v>
      </c>
      <c r="AR86" s="78">
        <f t="shared" si="54"/>
        <v>5.3213309024612521E-2</v>
      </c>
      <c r="AS86" s="78">
        <f t="shared" si="37"/>
        <v>4.9088309024612517E-2</v>
      </c>
      <c r="AU86" s="241">
        <f>AP86-E86</f>
        <v>-6.0487120032993086E-2</v>
      </c>
    </row>
    <row r="87" spans="2:47">
      <c r="B87" s="74">
        <v>45717</v>
      </c>
      <c r="C87" s="75">
        <v>116.39</v>
      </c>
      <c r="D87" s="78">
        <f t="shared" si="38"/>
        <v>-3.6745841264586576E-2</v>
      </c>
      <c r="E87" s="79">
        <f t="shared" si="55"/>
        <v>-4.087084126458658E-2</v>
      </c>
      <c r="F87" s="75">
        <v>254.18</v>
      </c>
      <c r="G87" s="78">
        <f t="shared" si="39"/>
        <v>-2.0991410853907433E-2</v>
      </c>
      <c r="H87" s="78">
        <f t="shared" si="56"/>
        <v>-2.5116410853907433E-2</v>
      </c>
      <c r="I87" s="78">
        <f t="shared" si="57"/>
        <v>-4.6701203631462573E-2</v>
      </c>
      <c r="J87" s="79">
        <f t="shared" si="58"/>
        <v>-5.6845557339127717E-3</v>
      </c>
      <c r="K87" s="75">
        <v>271.83</v>
      </c>
      <c r="L87" s="78">
        <f t="shared" si="59"/>
        <v>-7.3264693849720453E-2</v>
      </c>
      <c r="M87" s="78">
        <f t="shared" si="60"/>
        <v>-7.7389693849720456E-2</v>
      </c>
      <c r="N87" s="78">
        <f t="shared" si="61"/>
        <v>-4.8424215676998943E-2</v>
      </c>
      <c r="O87" s="79">
        <f t="shared" si="62"/>
        <v>-5.6234826684189422E-2</v>
      </c>
      <c r="P87" s="282">
        <v>109.27</v>
      </c>
      <c r="Q87" s="78">
        <f t="shared" si="41"/>
        <v>3.0363036303630464E-2</v>
      </c>
      <c r="R87" s="78">
        <f t="shared" si="63"/>
        <v>2.6238036303630464E-2</v>
      </c>
      <c r="S87" s="78">
        <f t="shared" si="72"/>
        <v>-6.4256913019157563E-2</v>
      </c>
      <c r="T87" s="79">
        <f t="shared" si="64"/>
        <v>8.8072083772797821E-2</v>
      </c>
      <c r="U87" s="178">
        <v>45.92</v>
      </c>
      <c r="V87" s="78">
        <f t="shared" si="43"/>
        <v>-4.8290155440414484E-2</v>
      </c>
      <c r="W87" s="78">
        <f t="shared" si="65"/>
        <v>-5.2415155440414488E-2</v>
      </c>
      <c r="X87" s="78">
        <f t="shared" si="66"/>
        <v>-7.0132115898274242E-2</v>
      </c>
      <c r="Y87" s="79">
        <f t="shared" si="67"/>
        <v>1.1865117252005536E-2</v>
      </c>
      <c r="Z87" s="277">
        <v>52.42</v>
      </c>
      <c r="AA87" s="78">
        <f t="shared" si="44"/>
        <v>-0.13125621478289695</v>
      </c>
      <c r="AB87" s="78">
        <f t="shared" si="68"/>
        <v>-0.13538121478289694</v>
      </c>
      <c r="AC87" s="78">
        <f t="shared" si="69"/>
        <v>-5.3128093160007724E-2</v>
      </c>
      <c r="AD87" s="79">
        <f t="shared" si="70"/>
        <v>-0.10128799884428494</v>
      </c>
      <c r="AE87" s="280">
        <v>330.91</v>
      </c>
      <c r="AF87" s="78">
        <f t="shared" si="45"/>
        <v>-0.10947549718776062</v>
      </c>
      <c r="AG87" s="78">
        <f t="shared" si="46"/>
        <v>-0.11360049718776062</v>
      </c>
      <c r="AH87" s="78">
        <f t="shared" si="47"/>
        <v>-7.3893660433717702E-3</v>
      </c>
      <c r="AI87" s="79">
        <f t="shared" si="48"/>
        <v>-0.12524600836578459</v>
      </c>
      <c r="AJ87" s="280">
        <v>76.14</v>
      </c>
      <c r="AK87" s="78">
        <f t="shared" si="49"/>
        <v>-5.038663008231492E-2</v>
      </c>
      <c r="AL87" s="78">
        <f t="shared" si="50"/>
        <v>-5.4511630082314924E-2</v>
      </c>
      <c r="AM87" s="78">
        <f t="shared" si="51"/>
        <v>-7.3099770361301983E-2</v>
      </c>
      <c r="AN87" s="79">
        <f t="shared" si="52"/>
        <v>-4.4673694240866813E-4</v>
      </c>
      <c r="AO87" s="179">
        <f t="shared" si="71"/>
        <v>176.4712535436534</v>
      </c>
      <c r="AP87" s="79">
        <f t="shared" si="53"/>
        <v>-7.0401249382577261E-2</v>
      </c>
      <c r="AQ87" s="178">
        <v>91.03</v>
      </c>
      <c r="AR87" s="78">
        <f t="shared" si="54"/>
        <v>-1.5146597425078512E-2</v>
      </c>
      <c r="AS87" s="78">
        <f t="shared" si="37"/>
        <v>-1.9271597425078512E-2</v>
      </c>
      <c r="AU87" s="241">
        <f>AP87-E87</f>
        <v>-2.9530408117990681E-2</v>
      </c>
    </row>
    <row r="88" spans="2:47">
      <c r="B88" s="74">
        <v>45748</v>
      </c>
      <c r="C88" s="75">
        <v>116.99</v>
      </c>
      <c r="D88" s="78">
        <f t="shared" si="38"/>
        <v>5.1550820517225482E-3</v>
      </c>
      <c r="E88" s="79">
        <f t="shared" si="55"/>
        <v>1.030082051722548E-3</v>
      </c>
      <c r="F88" s="75">
        <v>292.69</v>
      </c>
      <c r="G88" s="78">
        <f t="shared" si="39"/>
        <v>0.15150680620033041</v>
      </c>
      <c r="H88" s="78">
        <f t="shared" si="56"/>
        <v>0.14738180620033042</v>
      </c>
      <c r="I88" s="78">
        <f t="shared" si="57"/>
        <v>1.1770267057431972E-3</v>
      </c>
      <c r="J88" s="79">
        <f t="shared" si="58"/>
        <v>0.11893543098311932</v>
      </c>
      <c r="K88" s="75">
        <v>294.37</v>
      </c>
      <c r="L88" s="78">
        <f t="shared" si="59"/>
        <v>8.2919471728654104E-2</v>
      </c>
      <c r="M88" s="78">
        <f t="shared" si="60"/>
        <v>7.87944717286541E-2</v>
      </c>
      <c r="N88" s="78">
        <f t="shared" si="61"/>
        <v>1.2204523786212994E-3</v>
      </c>
      <c r="O88" s="79">
        <f t="shared" si="62"/>
        <v>5.0304670838564894E-2</v>
      </c>
      <c r="P88" s="282">
        <v>108.34</v>
      </c>
      <c r="Q88" s="78">
        <f t="shared" si="41"/>
        <v>-8.5110277294774273E-3</v>
      </c>
      <c r="R88" s="78">
        <f t="shared" si="63"/>
        <v>-1.2636027729477427E-2</v>
      </c>
      <c r="S88" s="78">
        <f t="shared" si="72"/>
        <v>5.7480800584379162E-2</v>
      </c>
      <c r="T88" s="79">
        <f t="shared" si="64"/>
        <v>-7.2539693863846802E-2</v>
      </c>
      <c r="U88" s="178">
        <v>46.27</v>
      </c>
      <c r="V88" s="78">
        <f t="shared" si="43"/>
        <v>7.6219512195121464E-3</v>
      </c>
      <c r="W88" s="78">
        <f t="shared" si="65"/>
        <v>3.4969512195121462E-3</v>
      </c>
      <c r="X88" s="78">
        <f t="shared" si="66"/>
        <v>1.7675641508933988E-3</v>
      </c>
      <c r="Y88" s="79">
        <f t="shared" si="67"/>
        <v>-4.122456137235473E-3</v>
      </c>
      <c r="Z88" s="277">
        <v>54.91</v>
      </c>
      <c r="AA88" s="78">
        <f t="shared" si="44"/>
        <v>4.7500953834414217E-2</v>
      </c>
      <c r="AB88" s="78">
        <f t="shared" si="68"/>
        <v>4.3375953834414213E-2</v>
      </c>
      <c r="AC88" s="78">
        <f t="shared" si="69"/>
        <v>1.339005841648437E-3</v>
      </c>
      <c r="AD88" s="79">
        <f t="shared" si="70"/>
        <v>2.3002070771370054E-2</v>
      </c>
      <c r="AE88" s="280">
        <v>363.18</v>
      </c>
      <c r="AF88" s="78">
        <f t="shared" si="45"/>
        <v>9.7518962859992175E-2</v>
      </c>
      <c r="AG88" s="78">
        <f t="shared" si="46"/>
        <v>9.3393962859992172E-2</v>
      </c>
      <c r="AH88" s="78">
        <f t="shared" si="47"/>
        <v>0.15460441874417455</v>
      </c>
      <c r="AI88" s="79">
        <f t="shared" si="48"/>
        <v>-8.0245333105578104E-2</v>
      </c>
      <c r="AJ88" s="280">
        <v>73.56</v>
      </c>
      <c r="AK88" s="78">
        <f t="shared" si="49"/>
        <v>-3.3884948778565738E-2</v>
      </c>
      <c r="AL88" s="78">
        <f t="shared" si="50"/>
        <v>-3.8009948778565741E-2</v>
      </c>
      <c r="AM88" s="78">
        <f t="shared" si="51"/>
        <v>6.5391148212320352E-2</v>
      </c>
      <c r="AN88" s="79">
        <f t="shared" si="52"/>
        <v>-0.12243597421228182</v>
      </c>
      <c r="AO88" s="179">
        <f t="shared" si="71"/>
        <v>183.39198341124771</v>
      </c>
      <c r="AP88" s="79">
        <f t="shared" si="53"/>
        <v>3.9217321397234377E-2</v>
      </c>
      <c r="AQ88" s="178">
        <v>89.47</v>
      </c>
      <c r="AR88" s="78">
        <f t="shared" si="54"/>
        <v>-1.7137207514006381E-2</v>
      </c>
      <c r="AS88" s="78">
        <f t="shared" si="37"/>
        <v>-2.1262207514006381E-2</v>
      </c>
      <c r="AU88" s="241">
        <f>AP88-E88</f>
        <v>3.8187239345511825E-2</v>
      </c>
    </row>
    <row r="89" spans="2:47">
      <c r="B89" s="74">
        <v>45778</v>
      </c>
      <c r="C89" s="75">
        <v>123.65</v>
      </c>
      <c r="D89" s="78">
        <f t="shared" si="38"/>
        <v>5.692794255919309E-2</v>
      </c>
      <c r="E89" s="79">
        <f t="shared" si="55"/>
        <v>5.2802942559193086E-2</v>
      </c>
      <c r="F89" s="75">
        <v>342.56</v>
      </c>
      <c r="G89" s="78">
        <f t="shared" si="39"/>
        <v>0.17038504902798191</v>
      </c>
      <c r="H89" s="78">
        <f t="shared" si="56"/>
        <v>0.16626004902798192</v>
      </c>
      <c r="I89" s="78">
        <f t="shared" si="57"/>
        <v>6.0335459131691097E-2</v>
      </c>
      <c r="J89" s="79">
        <f t="shared" si="58"/>
        <v>7.8655241384822897E-2</v>
      </c>
      <c r="K89" s="75">
        <v>320.2</v>
      </c>
      <c r="L89" s="78">
        <f t="shared" si="59"/>
        <v>8.7746713319971414E-2</v>
      </c>
      <c r="M89" s="78">
        <f t="shared" si="60"/>
        <v>8.3621713319971411E-2</v>
      </c>
      <c r="N89" s="78">
        <f t="shared" si="61"/>
        <v>6.2561498607616603E-2</v>
      </c>
      <c r="O89" s="79">
        <f t="shared" si="62"/>
        <v>-6.2091337991131007E-3</v>
      </c>
      <c r="P89" s="282">
        <v>103.49</v>
      </c>
      <c r="Q89" s="78">
        <f t="shared" si="41"/>
        <v>-4.476647590917493E-2</v>
      </c>
      <c r="R89" s="78">
        <f t="shared" si="63"/>
        <v>-4.8891475909174933E-2</v>
      </c>
      <c r="S89" s="78">
        <f t="shared" si="72"/>
        <v>-7.0948875275203098E-3</v>
      </c>
      <c r="T89" s="79">
        <f t="shared" si="64"/>
        <v>-4.4219453931644837E-2</v>
      </c>
      <c r="U89" s="178">
        <v>50.15</v>
      </c>
      <c r="V89" s="78">
        <f t="shared" si="43"/>
        <v>8.3855629997838577E-2</v>
      </c>
      <c r="W89" s="78">
        <f t="shared" si="65"/>
        <v>7.9730629997838573E-2</v>
      </c>
      <c r="X89" s="78">
        <f t="shared" si="66"/>
        <v>9.0606945508115808E-2</v>
      </c>
      <c r="Y89" s="79">
        <f t="shared" si="67"/>
        <v>-1.6728158716131453E-2</v>
      </c>
      <c r="Z89" s="277">
        <v>65.8</v>
      </c>
      <c r="AA89" s="78">
        <f t="shared" si="44"/>
        <v>0.19832453105081038</v>
      </c>
      <c r="AB89" s="78">
        <f t="shared" si="68"/>
        <v>0.19419953105081039</v>
      </c>
      <c r="AC89" s="78">
        <f t="shared" si="69"/>
        <v>6.8638656915488469E-2</v>
      </c>
      <c r="AD89" s="79">
        <f t="shared" si="70"/>
        <v>0.10652599691392621</v>
      </c>
      <c r="AE89" s="280">
        <v>389.58</v>
      </c>
      <c r="AF89" s="78">
        <f t="shared" si="45"/>
        <v>7.2691227490500498E-2</v>
      </c>
      <c r="AG89" s="78">
        <f t="shared" si="46"/>
        <v>6.8566227490500495E-2</v>
      </c>
      <c r="AH89" s="78">
        <f t="shared" si="47"/>
        <v>0.102244114936694</v>
      </c>
      <c r="AI89" s="79">
        <f t="shared" si="48"/>
        <v>-5.2712764667589229E-2</v>
      </c>
      <c r="AJ89" s="280">
        <v>77.87</v>
      </c>
      <c r="AK89" s="78">
        <f t="shared" si="49"/>
        <v>5.8591625883632537E-2</v>
      </c>
      <c r="AL89" s="78">
        <f t="shared" si="50"/>
        <v>5.4466625883632533E-2</v>
      </c>
      <c r="AM89" s="78">
        <f t="shared" si="51"/>
        <v>-8.0712661818406126E-3</v>
      </c>
      <c r="AN89" s="79">
        <f t="shared" si="52"/>
        <v>4.3503014844077419E-2</v>
      </c>
      <c r="AO89" s="179">
        <f t="shared" si="71"/>
        <v>202.49228082633789</v>
      </c>
      <c r="AP89" s="79">
        <f t="shared" si="53"/>
        <v>0.10415012183089101</v>
      </c>
      <c r="AQ89" s="178">
        <v>86.28</v>
      </c>
      <c r="AR89" s="78">
        <f t="shared" si="54"/>
        <v>-3.565440929920638E-2</v>
      </c>
      <c r="AS89" s="78">
        <f t="shared" si="37"/>
        <v>-3.9779409299206384E-2</v>
      </c>
      <c r="AU89" s="241">
        <f>AP89-E89</f>
        <v>5.1347179271697921E-2</v>
      </c>
    </row>
    <row r="90" spans="2:47">
      <c r="B90" s="74">
        <v>45809</v>
      </c>
      <c r="C90" s="75">
        <v>128.6</v>
      </c>
      <c r="D90" s="78">
        <f t="shared" si="38"/>
        <v>4.0032349373230858E-2</v>
      </c>
      <c r="E90" s="79">
        <f t="shared" si="55"/>
        <v>3.5907349373230854E-2</v>
      </c>
      <c r="F90" s="75">
        <v>378.08</v>
      </c>
      <c r="G90" s="78">
        <f t="shared" si="39"/>
        <v>0.10368986454927609</v>
      </c>
      <c r="H90" s="78">
        <f t="shared" si="56"/>
        <v>9.9564864549276086E-2</v>
      </c>
      <c r="I90" s="78">
        <f t="shared" si="57"/>
        <v>4.1029653001009414E-2</v>
      </c>
      <c r="J90" s="79">
        <f t="shared" si="58"/>
        <v>3.1265863036798763E-2</v>
      </c>
      <c r="K90" s="75">
        <v>356.99</v>
      </c>
      <c r="L90" s="78">
        <f t="shared" si="59"/>
        <v>0.11489693941286694</v>
      </c>
      <c r="M90" s="78">
        <f t="shared" si="60"/>
        <v>0.11077193941286693</v>
      </c>
      <c r="N90" s="78">
        <f t="shared" si="61"/>
        <v>4.2543416691187406E-2</v>
      </c>
      <c r="O90" s="79">
        <f t="shared" si="62"/>
        <v>4.095917421021162E-2</v>
      </c>
      <c r="P90" s="282">
        <v>103.76</v>
      </c>
      <c r="Q90" s="78">
        <f t="shared" si="41"/>
        <v>2.6089477244179982E-3</v>
      </c>
      <c r="R90" s="78">
        <f t="shared" si="63"/>
        <v>-1.516052275582002E-3</v>
      </c>
      <c r="S90" s="78">
        <f t="shared" si="72"/>
        <v>4.6802137567573551E-2</v>
      </c>
      <c r="T90" s="79">
        <f t="shared" si="64"/>
        <v>-5.0741055393145766E-2</v>
      </c>
      <c r="U90" s="178">
        <v>53.38</v>
      </c>
      <c r="V90" s="78">
        <f t="shared" si="43"/>
        <v>6.4406779661017044E-2</v>
      </c>
      <c r="W90" s="78">
        <f t="shared" si="65"/>
        <v>6.028177966101704E-2</v>
      </c>
      <c r="X90" s="78">
        <f t="shared" si="66"/>
        <v>6.1615036782353937E-2</v>
      </c>
      <c r="Y90" s="79">
        <f t="shared" si="67"/>
        <v>-7.1851003271911143E-3</v>
      </c>
      <c r="Z90" s="277">
        <v>73.25</v>
      </c>
      <c r="AA90" s="78">
        <f t="shared" si="44"/>
        <v>0.11322188449848025</v>
      </c>
      <c r="AB90" s="78">
        <f t="shared" si="68"/>
        <v>0.10909688449848025</v>
      </c>
      <c r="AC90" s="78">
        <f t="shared" si="69"/>
        <v>4.6676039533419443E-2</v>
      </c>
      <c r="AD90" s="79">
        <f t="shared" si="70"/>
        <v>4.3385967743665078E-2</v>
      </c>
      <c r="AE90" s="280">
        <v>408.41</v>
      </c>
      <c r="AF90" s="78">
        <f t="shared" si="45"/>
        <v>4.8334103393398165E-2</v>
      </c>
      <c r="AG90" s="78">
        <f t="shared" si="46"/>
        <v>4.4209103393398161E-2</v>
      </c>
      <c r="AH90" s="78">
        <f t="shared" si="47"/>
        <v>4.0642561609965655E-2</v>
      </c>
      <c r="AI90" s="79">
        <f t="shared" si="48"/>
        <v>-1.5468335437963217E-2</v>
      </c>
      <c r="AJ90" s="280">
        <v>79.47</v>
      </c>
      <c r="AK90" s="78">
        <f t="shared" si="49"/>
        <v>2.0547065622190663E-2</v>
      </c>
      <c r="AL90" s="78">
        <f t="shared" si="50"/>
        <v>1.6422065622190663E-2</v>
      </c>
      <c r="AM90" s="78">
        <f t="shared" si="51"/>
        <v>5.3242917343192114E-2</v>
      </c>
      <c r="AN90" s="79">
        <f t="shared" si="52"/>
        <v>-5.5855728942397175E-2</v>
      </c>
      <c r="AO90" s="179">
        <f t="shared" si="71"/>
        <v>216.70951632574179</v>
      </c>
      <c r="AP90" s="79">
        <f t="shared" si="53"/>
        <v>7.0211246776349531E-2</v>
      </c>
      <c r="AQ90" s="178">
        <v>88.25</v>
      </c>
      <c r="AR90" s="78">
        <f t="shared" si="54"/>
        <v>2.2832637923041244E-2</v>
      </c>
      <c r="AS90" s="78">
        <f t="shared" si="37"/>
        <v>1.8707637923041243E-2</v>
      </c>
      <c r="AU90" s="241">
        <f>AP90-E90</f>
        <v>3.4303897403118677E-2</v>
      </c>
    </row>
    <row r="91" spans="2:47">
      <c r="B91" s="74">
        <v>45839</v>
      </c>
      <c r="C91" s="75">
        <v>129.96</v>
      </c>
      <c r="D91" s="78">
        <f t="shared" si="38"/>
        <v>1.0575427682737226E-2</v>
      </c>
      <c r="E91" s="79">
        <f t="shared" si="55"/>
        <v>6.450427682737226E-3</v>
      </c>
      <c r="F91" s="75">
        <v>406.13</v>
      </c>
      <c r="G91" s="78">
        <f t="shared" si="39"/>
        <v>7.4190647482014427E-2</v>
      </c>
      <c r="H91" s="78">
        <f t="shared" si="56"/>
        <v>7.0065647482014423E-2</v>
      </c>
      <c r="I91" s="78">
        <f t="shared" si="57"/>
        <v>7.3706027916423805E-3</v>
      </c>
      <c r="J91" s="79">
        <f t="shared" si="58"/>
        <v>3.5425696178904134E-2</v>
      </c>
      <c r="K91" s="75">
        <v>384.72</v>
      </c>
      <c r="L91" s="78">
        <f t="shared" si="59"/>
        <v>7.7677245861228705E-2</v>
      </c>
      <c r="M91" s="78">
        <f t="shared" si="60"/>
        <v>7.3552245861228702E-2</v>
      </c>
      <c r="N91" s="78">
        <f t="shared" si="61"/>
        <v>7.6425366264334842E-3</v>
      </c>
      <c r="O91" s="79">
        <f t="shared" si="62"/>
        <v>3.8640360723327306E-2</v>
      </c>
      <c r="P91" s="282">
        <v>113.14</v>
      </c>
      <c r="Q91" s="78">
        <f t="shared" si="41"/>
        <v>9.0400925212027694E-2</v>
      </c>
      <c r="R91" s="78">
        <f t="shared" si="63"/>
        <v>8.627592521202769E-2</v>
      </c>
      <c r="S91" s="78">
        <f t="shared" si="72"/>
        <v>4.4152537571984583E-2</v>
      </c>
      <c r="T91" s="79">
        <f t="shared" si="64"/>
        <v>3.9700522090052891E-2</v>
      </c>
      <c r="U91" s="178">
        <v>52.25</v>
      </c>
      <c r="V91" s="78">
        <f t="shared" si="43"/>
        <v>-2.1168977144998213E-2</v>
      </c>
      <c r="W91" s="78">
        <f t="shared" si="65"/>
        <v>-2.5293977144998214E-2</v>
      </c>
      <c r="X91" s="78">
        <f t="shared" si="66"/>
        <v>1.106857915917527E-2</v>
      </c>
      <c r="Y91" s="79">
        <f t="shared" si="67"/>
        <v>-4.2214399510027707E-2</v>
      </c>
      <c r="Z91" s="277">
        <v>78.42</v>
      </c>
      <c r="AA91" s="78">
        <f t="shared" si="44"/>
        <v>7.0580204778156963E-2</v>
      </c>
      <c r="AB91" s="78">
        <f t="shared" si="68"/>
        <v>6.6455204778156959E-2</v>
      </c>
      <c r="AC91" s="78">
        <f t="shared" si="69"/>
        <v>8.3849246124350022E-3</v>
      </c>
      <c r="AD91" s="79">
        <f t="shared" si="70"/>
        <v>3.9035402944326232E-2</v>
      </c>
      <c r="AE91" s="280">
        <v>437.48</v>
      </c>
      <c r="AF91" s="78">
        <f t="shared" si="45"/>
        <v>7.1178472613305344E-2</v>
      </c>
      <c r="AG91" s="78">
        <f t="shared" si="46"/>
        <v>6.705347261330534E-2</v>
      </c>
      <c r="AH91" s="78">
        <f t="shared" si="47"/>
        <v>4.6049937525551601E-2</v>
      </c>
      <c r="AI91" s="79">
        <f t="shared" si="48"/>
        <v>1.9686578663580118E-3</v>
      </c>
      <c r="AJ91" s="280">
        <v>85.37</v>
      </c>
      <c r="AK91" s="78">
        <f t="shared" si="49"/>
        <v>7.4241852271297315E-2</v>
      </c>
      <c r="AL91" s="78">
        <f t="shared" si="50"/>
        <v>7.0116852271297311E-2</v>
      </c>
      <c r="AM91" s="78">
        <f t="shared" si="51"/>
        <v>5.0228686778317093E-2</v>
      </c>
      <c r="AN91" s="79">
        <f t="shared" si="52"/>
        <v>8.5328827158449166E-4</v>
      </c>
      <c r="AO91" s="179">
        <f t="shared" si="71"/>
        <v>227.05183144975032</v>
      </c>
      <c r="AP91" s="79">
        <f t="shared" si="53"/>
        <v>4.7724323783099355E-2</v>
      </c>
      <c r="AQ91" s="178">
        <v>86.92</v>
      </c>
      <c r="AR91" s="78">
        <f t="shared" si="54"/>
        <v>-1.5070821529745038E-2</v>
      </c>
      <c r="AS91" s="78">
        <f t="shared" si="37"/>
        <v>-1.9195821529745038E-2</v>
      </c>
      <c r="AU91" s="241">
        <f>AP91-E91</f>
        <v>4.1273896100362126E-2</v>
      </c>
    </row>
    <row r="92" spans="2:47">
      <c r="B92" s="74">
        <v>45870</v>
      </c>
      <c r="C92" s="75">
        <v>133.44</v>
      </c>
      <c r="D92" s="78">
        <f t="shared" si="38"/>
        <v>2.6777469990766356E-2</v>
      </c>
      <c r="E92" s="79">
        <f t="shared" si="55"/>
        <v>2.2652469990766356E-2</v>
      </c>
      <c r="F92" s="75">
        <v>377.96</v>
      </c>
      <c r="G92" s="78">
        <f t="shared" si="39"/>
        <v>-6.9362026937187626E-2</v>
      </c>
      <c r="H92" s="78">
        <f t="shared" si="56"/>
        <v>-7.348702693718763E-2</v>
      </c>
      <c r="I92" s="78">
        <f t="shared" si="57"/>
        <v>2.5883920689222826E-2</v>
      </c>
      <c r="J92" s="79">
        <f t="shared" si="58"/>
        <v>-0.12664029613787836</v>
      </c>
      <c r="K92" s="75">
        <v>349.14</v>
      </c>
      <c r="L92" s="78">
        <f t="shared" si="59"/>
        <v>-9.2482844666250896E-2</v>
      </c>
      <c r="M92" s="78">
        <f t="shared" si="60"/>
        <v>-9.66078446662509E-2</v>
      </c>
      <c r="N92" s="78">
        <f t="shared" si="61"/>
        <v>2.6838891946177609E-2</v>
      </c>
      <c r="O92" s="79">
        <f t="shared" si="62"/>
        <v>-0.15071608512389642</v>
      </c>
      <c r="P92" s="282">
        <v>111.02</v>
      </c>
      <c r="Q92" s="78">
        <f t="shared" si="41"/>
        <v>-1.8737846915326206E-2</v>
      </c>
      <c r="R92" s="78">
        <f t="shared" si="63"/>
        <v>-2.2862846915326206E-2</v>
      </c>
      <c r="S92" s="78">
        <f t="shared" si="72"/>
        <v>-0.17221623935611768</v>
      </c>
      <c r="T92" s="79">
        <f t="shared" si="64"/>
        <v>0.14693052689080127</v>
      </c>
      <c r="U92" s="178">
        <v>49.137999999999998</v>
      </c>
      <c r="V92" s="78">
        <f t="shared" si="43"/>
        <v>-5.9559808612440257E-2</v>
      </c>
      <c r="W92" s="78">
        <f t="shared" si="65"/>
        <v>-6.3684808612440261E-2</v>
      </c>
      <c r="X92" s="78">
        <f t="shared" si="66"/>
        <v>3.8870392720571155E-2</v>
      </c>
      <c r="Y92" s="79">
        <f t="shared" si="67"/>
        <v>-0.10840704453886563</v>
      </c>
      <c r="Z92" s="277">
        <v>90.39</v>
      </c>
      <c r="AA92" s="78">
        <f t="shared" si="44"/>
        <v>0.1526396327467483</v>
      </c>
      <c r="AB92" s="78">
        <f t="shared" si="68"/>
        <v>0.14851463274674831</v>
      </c>
      <c r="AC92" s="78">
        <f t="shared" si="69"/>
        <v>2.9445993738731715E-2</v>
      </c>
      <c r="AD92" s="79">
        <f t="shared" si="70"/>
        <v>0.10003376178662088</v>
      </c>
      <c r="AE92" s="280">
        <v>430.99</v>
      </c>
      <c r="AF92" s="78">
        <f t="shared" si="45"/>
        <v>-1.4834963884063246E-2</v>
      </c>
      <c r="AG92" s="78">
        <f t="shared" si="46"/>
        <v>-1.8959963884063246E-2</v>
      </c>
      <c r="AH92" s="78">
        <f t="shared" si="47"/>
        <v>-0.16461998928448593</v>
      </c>
      <c r="AI92" s="79">
        <f t="shared" si="48"/>
        <v>0.12662514817902695</v>
      </c>
      <c r="AJ92" s="280">
        <v>95.94</v>
      </c>
      <c r="AK92" s="78">
        <f t="shared" si="49"/>
        <v>0.12381398617781403</v>
      </c>
      <c r="AL92" s="78">
        <f t="shared" si="50"/>
        <v>0.11968898617781402</v>
      </c>
      <c r="AM92" s="78">
        <f t="shared" si="51"/>
        <v>-0.19591615840097926</v>
      </c>
      <c r="AN92" s="79">
        <f t="shared" si="52"/>
        <v>0.29657026735739755</v>
      </c>
      <c r="AO92" s="179">
        <f t="shared" si="71"/>
        <v>229.43754330072636</v>
      </c>
      <c r="AP92" s="79">
        <f t="shared" si="53"/>
        <v>1.050734466990633E-2</v>
      </c>
      <c r="AQ92" s="178">
        <v>86.6</v>
      </c>
      <c r="AR92" s="78">
        <f t="shared" si="54"/>
        <v>-3.6815462494248496E-3</v>
      </c>
      <c r="AS92" s="78">
        <f t="shared" si="37"/>
        <v>-7.8065462494248498E-3</v>
      </c>
      <c r="AU92" s="241">
        <f>AP92-E92</f>
        <v>-1.2145125320860026E-2</v>
      </c>
    </row>
    <row r="93" spans="2:47">
      <c r="B93" s="74">
        <v>45901</v>
      </c>
      <c r="C93" s="75">
        <v>138.24</v>
      </c>
      <c r="D93" s="78">
        <f t="shared" si="38"/>
        <v>3.5971223021582732E-2</v>
      </c>
      <c r="E93" s="79">
        <f t="shared" si="55"/>
        <v>3.1846223021582729E-2</v>
      </c>
      <c r="F93" s="75">
        <v>414.42</v>
      </c>
      <c r="G93" s="78">
        <f t="shared" si="39"/>
        <v>9.6465234416340362E-2</v>
      </c>
      <c r="H93" s="78">
        <f t="shared" si="56"/>
        <v>9.2340234416340358E-2</v>
      </c>
      <c r="I93" s="78">
        <f t="shared" si="57"/>
        <v>3.6389193376172857E-2</v>
      </c>
      <c r="J93" s="79">
        <f t="shared" si="58"/>
        <v>2.8681692528699593E-2</v>
      </c>
      <c r="K93" s="75">
        <v>374.25</v>
      </c>
      <c r="L93" s="78">
        <f t="shared" si="59"/>
        <v>7.1919573809932968E-2</v>
      </c>
      <c r="M93" s="78">
        <f t="shared" si="60"/>
        <v>6.7794573809932965E-2</v>
      </c>
      <c r="N93" s="78">
        <f t="shared" si="61"/>
        <v>3.7731750176406113E-2</v>
      </c>
      <c r="O93" s="79">
        <f t="shared" si="62"/>
        <v>2.7934751220589429E-3</v>
      </c>
      <c r="P93" s="282">
        <v>112.5</v>
      </c>
      <c r="Q93" s="78">
        <f t="shared" si="41"/>
        <v>1.3330931363718213E-2</v>
      </c>
      <c r="R93" s="78">
        <f t="shared" si="63"/>
        <v>9.2059313637182123E-3</v>
      </c>
      <c r="S93" s="78">
        <f t="shared" si="72"/>
        <v>3.1919737024776675E-3</v>
      </c>
      <c r="T93" s="79">
        <f t="shared" si="64"/>
        <v>3.5910921112503312E-3</v>
      </c>
      <c r="U93" s="178">
        <v>56.02</v>
      </c>
      <c r="V93" s="78">
        <f t="shared" si="43"/>
        <v>0.14005454027432962</v>
      </c>
      <c r="W93" s="78">
        <f t="shared" si="65"/>
        <v>0.13592954027432963</v>
      </c>
      <c r="X93" s="78">
        <f t="shared" si="66"/>
        <v>5.4646367306540961E-2</v>
      </c>
      <c r="Y93" s="79">
        <f t="shared" si="67"/>
        <v>7.5431329761934451E-2</v>
      </c>
      <c r="Z93" s="277">
        <v>98.64</v>
      </c>
      <c r="AA93" s="78">
        <f t="shared" si="44"/>
        <v>9.12711583139727E-2</v>
      </c>
      <c r="AB93" s="78">
        <f t="shared" si="68"/>
        <v>8.7146158313972696E-2</v>
      </c>
      <c r="AC93" s="78">
        <f t="shared" si="69"/>
        <v>4.139697278389614E-2</v>
      </c>
      <c r="AD93" s="79">
        <f t="shared" si="70"/>
        <v>2.671430830868083E-2</v>
      </c>
      <c r="AE93" s="280">
        <v>430.31</v>
      </c>
      <c r="AF93" s="78">
        <f t="shared" si="45"/>
        <v>-1.5777628251235631E-3</v>
      </c>
      <c r="AG93" s="78">
        <f t="shared" si="46"/>
        <v>-5.7027628251235633E-3</v>
      </c>
      <c r="AH93" s="78">
        <f t="shared" si="47"/>
        <v>3.7283392890955294E-2</v>
      </c>
      <c r="AI93" s="79">
        <f t="shared" si="48"/>
        <v>-6.2021032937474581E-2</v>
      </c>
      <c r="AJ93" s="280">
        <v>101.11</v>
      </c>
      <c r="AK93" s="78">
        <f t="shared" si="49"/>
        <v>5.3887846570773501E-2</v>
      </c>
      <c r="AL93" s="78">
        <f t="shared" si="50"/>
        <v>4.9762846570773497E-2</v>
      </c>
      <c r="AM93" s="78">
        <f t="shared" si="51"/>
        <v>3.6312442301868215E-3</v>
      </c>
      <c r="AN93" s="79">
        <f t="shared" si="52"/>
        <v>2.7096725119190951E-2</v>
      </c>
      <c r="AO93" s="179">
        <f t="shared" si="71"/>
        <v>247.8629884373857</v>
      </c>
      <c r="AP93" s="79">
        <f t="shared" si="53"/>
        <v>8.0307018945495398E-2</v>
      </c>
      <c r="AQ93" s="178">
        <v>89.37</v>
      </c>
      <c r="AR93" s="78">
        <f t="shared" si="54"/>
        <v>3.1986143187067162E-2</v>
      </c>
      <c r="AS93" s="78">
        <f t="shared" si="37"/>
        <v>2.7861143187067162E-2</v>
      </c>
      <c r="AU93" s="241">
        <f>AP93-E93</f>
        <v>4.846079592391267E-2</v>
      </c>
    </row>
    <row r="94" spans="2:47">
      <c r="B94" s="74">
        <v>45931</v>
      </c>
      <c r="C94" s="75">
        <v>141.41</v>
      </c>
      <c r="D94" s="78">
        <f t="shared" si="38"/>
        <v>2.2931134259259078E-2</v>
      </c>
      <c r="E94" s="79">
        <f t="shared" si="55"/>
        <v>1.8806134259259078E-2</v>
      </c>
      <c r="F94" s="75">
        <v>449.13</v>
      </c>
      <c r="G94" s="78">
        <f t="shared" si="39"/>
        <v>8.3755610250470403E-2</v>
      </c>
      <c r="H94" s="78">
        <f t="shared" si="56"/>
        <v>7.9630610250470399E-2</v>
      </c>
      <c r="I94" s="78">
        <f t="shared" si="57"/>
        <v>2.1488892285740101E-2</v>
      </c>
      <c r="J94" s="79">
        <f t="shared" si="58"/>
        <v>3.087236945326239E-2</v>
      </c>
      <c r="K94" s="75">
        <v>381.56</v>
      </c>
      <c r="L94" s="78">
        <f t="shared" si="59"/>
        <v>1.953239812959251E-2</v>
      </c>
      <c r="M94" s="78">
        <f t="shared" si="60"/>
        <v>1.540739812959251E-2</v>
      </c>
      <c r="N94" s="78">
        <f t="shared" si="61"/>
        <v>2.2281711685979706E-2</v>
      </c>
      <c r="O94" s="79">
        <f t="shared" si="62"/>
        <v>-3.4143662067855109E-2</v>
      </c>
      <c r="P94" s="282">
        <v>120.26</v>
      </c>
      <c r="Q94" s="78">
        <f t="shared" si="41"/>
        <v>6.8977777777777805E-2</v>
      </c>
      <c r="R94" s="78">
        <f t="shared" si="63"/>
        <v>6.4852777777777801E-2</v>
      </c>
      <c r="S94" s="78">
        <f t="shared" si="72"/>
        <v>-3.901436979562195E-2</v>
      </c>
      <c r="T94" s="79">
        <f t="shared" si="64"/>
        <v>0.10144428202340953</v>
      </c>
      <c r="U94" s="178">
        <v>56.7</v>
      </c>
      <c r="V94" s="78">
        <f t="shared" si="43"/>
        <v>1.2138521956444048E-2</v>
      </c>
      <c r="W94" s="78">
        <f t="shared" si="65"/>
        <v>8.0135219564440481E-3</v>
      </c>
      <c r="X94" s="78">
        <f t="shared" si="66"/>
        <v>3.2270292136405448E-2</v>
      </c>
      <c r="Y94" s="79">
        <f t="shared" si="67"/>
        <v>-3.0108613385815622E-2</v>
      </c>
      <c r="Z94" s="277">
        <v>114.35</v>
      </c>
      <c r="AA94" s="78">
        <f t="shared" si="44"/>
        <v>0.15926601784266015</v>
      </c>
      <c r="AB94" s="78">
        <f t="shared" si="68"/>
        <v>0.15514101784266016</v>
      </c>
      <c r="AC94" s="78">
        <f t="shared" si="69"/>
        <v>2.444613377144381E-2</v>
      </c>
      <c r="AD94" s="79">
        <f t="shared" si="70"/>
        <v>0.11166000684982064</v>
      </c>
      <c r="AE94" s="280">
        <v>470</v>
      </c>
      <c r="AF94" s="78">
        <f t="shared" si="45"/>
        <v>9.2235829983035478E-2</v>
      </c>
      <c r="AG94" s="78">
        <f t="shared" si="46"/>
        <v>8.8110829983035474E-2</v>
      </c>
      <c r="AH94" s="78">
        <f t="shared" si="47"/>
        <v>4.0131058466963319E-2</v>
      </c>
      <c r="AI94" s="79">
        <f t="shared" si="48"/>
        <v>2.8944894294676428E-2</v>
      </c>
      <c r="AJ94" s="280">
        <v>105.87</v>
      </c>
      <c r="AK94" s="78">
        <f t="shared" si="49"/>
        <v>4.7077440411433136E-2</v>
      </c>
      <c r="AL94" s="78">
        <f t="shared" si="50"/>
        <v>4.2952440411433132E-2</v>
      </c>
      <c r="AM94" s="78">
        <f t="shared" si="51"/>
        <v>-4.4383418668129955E-2</v>
      </c>
      <c r="AN94" s="79">
        <f t="shared" si="52"/>
        <v>6.8300981858167367E-2</v>
      </c>
      <c r="AO94" s="179">
        <f t="shared" si="71"/>
        <v>262.61906400849506</v>
      </c>
      <c r="AP94" s="79">
        <f t="shared" si="53"/>
        <v>5.9533194786913504E-2</v>
      </c>
      <c r="AQ94" s="178">
        <v>90.29</v>
      </c>
      <c r="AR94" s="78">
        <f t="shared" si="54"/>
        <v>1.0294282197605531E-2</v>
      </c>
      <c r="AS94" s="78">
        <f t="shared" si="37"/>
        <v>6.1692821976055308E-3</v>
      </c>
      <c r="AU94" s="241">
        <f>AP94-E94</f>
        <v>4.072706052765443E-2</v>
      </c>
    </row>
    <row r="95" spans="2:47">
      <c r="B95" s="74">
        <v>45962</v>
      </c>
      <c r="C95" s="75">
        <v>141.47</v>
      </c>
      <c r="D95" s="78">
        <f t="shared" si="38"/>
        <v>4.2429814015987333E-4</v>
      </c>
      <c r="E95" s="79">
        <f t="shared" si="55"/>
        <v>-3.7007018598401269E-3</v>
      </c>
      <c r="F95" s="75">
        <v>464.88</v>
      </c>
      <c r="G95" s="78">
        <f t="shared" si="39"/>
        <v>3.5067797742301732E-2</v>
      </c>
      <c r="H95" s="78">
        <f t="shared" si="56"/>
        <v>3.0942797742301732E-2</v>
      </c>
      <c r="I95" s="78">
        <f t="shared" si="57"/>
        <v>-4.2286193723513072E-3</v>
      </c>
      <c r="J95" s="79">
        <f t="shared" si="58"/>
        <v>7.9020686031851268E-3</v>
      </c>
      <c r="K95" s="75">
        <v>345.89</v>
      </c>
      <c r="L95" s="78">
        <f t="shared" si="59"/>
        <v>-9.348464199601636E-2</v>
      </c>
      <c r="M95" s="78">
        <f t="shared" si="60"/>
        <v>-9.7609641996016364E-2</v>
      </c>
      <c r="N95" s="78">
        <f t="shared" si="61"/>
        <v>-4.3846316707076014E-3</v>
      </c>
      <c r="O95" s="79">
        <f t="shared" si="62"/>
        <v>-0.12049435883677667</v>
      </c>
      <c r="P95" s="282">
        <v>123.77</v>
      </c>
      <c r="Q95" s="78">
        <f t="shared" si="41"/>
        <v>2.918676201563275E-2</v>
      </c>
      <c r="R95" s="78">
        <f t="shared" si="63"/>
        <v>2.506176201563275E-2</v>
      </c>
      <c r="S95" s="78">
        <f t="shared" si="72"/>
        <v>-0.13768328261338394</v>
      </c>
      <c r="T95" s="79">
        <f t="shared" si="64"/>
        <v>0.16032217907902649</v>
      </c>
      <c r="U95" s="178">
        <v>53.64</v>
      </c>
      <c r="V95" s="78">
        <f t="shared" si="43"/>
        <v>-5.3968253968253999E-2</v>
      </c>
      <c r="W95" s="78">
        <f t="shared" si="65"/>
        <v>-5.8093253968254002E-2</v>
      </c>
      <c r="X95" s="78">
        <f t="shared" si="66"/>
        <v>-6.3502008695903488E-3</v>
      </c>
      <c r="Y95" s="79">
        <f t="shared" si="67"/>
        <v>-5.7594896304517869E-2</v>
      </c>
      <c r="Z95" s="277">
        <v>107.27</v>
      </c>
      <c r="AA95" s="78">
        <f t="shared" si="44"/>
        <v>-6.1915172715347633E-2</v>
      </c>
      <c r="AB95" s="78">
        <f t="shared" si="68"/>
        <v>-6.6040172715347636E-2</v>
      </c>
      <c r="AC95" s="78">
        <f t="shared" si="69"/>
        <v>-4.810550188927923E-3</v>
      </c>
      <c r="AD95" s="79">
        <f t="shared" si="70"/>
        <v>-8.0264499747815438E-2</v>
      </c>
      <c r="AE95" s="280">
        <v>431.43</v>
      </c>
      <c r="AF95" s="78">
        <f t="shared" si="45"/>
        <v>-8.2063829787234033E-2</v>
      </c>
      <c r="AG95" s="78">
        <f t="shared" si="46"/>
        <v>-8.6188829787234036E-2</v>
      </c>
      <c r="AH95" s="78">
        <f t="shared" si="47"/>
        <v>1.027191572076974E-2</v>
      </c>
      <c r="AI95" s="79">
        <f t="shared" si="48"/>
        <v>-0.11549562272939951</v>
      </c>
      <c r="AJ95" s="280">
        <v>109.87</v>
      </c>
      <c r="AK95" s="78">
        <f t="shared" si="49"/>
        <v>3.7782185699442694E-2</v>
      </c>
      <c r="AL95" s="78">
        <f t="shared" si="50"/>
        <v>3.365718569944269E-2</v>
      </c>
      <c r="AM95" s="78">
        <f t="shared" si="51"/>
        <v>-0.15663087236431578</v>
      </c>
      <c r="AN95" s="79">
        <f t="shared" si="52"/>
        <v>0.17125318084236274</v>
      </c>
      <c r="AO95" s="179">
        <f t="shared" si="71"/>
        <v>253.70207104433322</v>
      </c>
      <c r="AP95" s="79">
        <f t="shared" si="53"/>
        <v>-3.3954096203287772E-2</v>
      </c>
      <c r="AQ95" s="178">
        <v>90.21</v>
      </c>
      <c r="AR95" s="78">
        <f t="shared" si="54"/>
        <v>-8.860338907964449E-4</v>
      </c>
      <c r="AS95" s="78">
        <f t="shared" si="37"/>
        <v>-5.0110338907964451E-3</v>
      </c>
      <c r="AU95" s="241">
        <f>AP95-E95</f>
        <v>-3.0253394343447645E-2</v>
      </c>
    </row>
    <row r="96" spans="2:47">
      <c r="B96" s="74">
        <v>45992</v>
      </c>
      <c r="C96" s="75">
        <v>141.49</v>
      </c>
      <c r="D96" s="78">
        <f t="shared" si="38"/>
        <v>1.4137272920056176E-4</v>
      </c>
      <c r="E96" s="79">
        <f t="shared" si="55"/>
        <v>-3.9836272707994384E-3</v>
      </c>
      <c r="F96" s="75">
        <v>422.06</v>
      </c>
      <c r="G96" s="78">
        <f t="shared" si="39"/>
        <v>-9.2109791774221295E-2</v>
      </c>
      <c r="H96" s="78">
        <f t="shared" si="56"/>
        <v>-9.6234791774221298E-2</v>
      </c>
      <c r="I96" s="78">
        <f t="shared" si="57"/>
        <v>-4.5519050405906517E-3</v>
      </c>
      <c r="J96" s="79">
        <f t="shared" si="58"/>
        <v>-0.11895223524509856</v>
      </c>
      <c r="K96" s="75">
        <v>318.51</v>
      </c>
      <c r="L96" s="78">
        <f t="shared" si="59"/>
        <v>-7.9158113851224399E-2</v>
      </c>
      <c r="M96" s="78">
        <f t="shared" si="60"/>
        <v>-8.3283113851224402E-2</v>
      </c>
      <c r="N96" s="78">
        <f t="shared" si="61"/>
        <v>-4.7198447638784604E-3</v>
      </c>
      <c r="O96" s="79">
        <f t="shared" si="62"/>
        <v>-0.10583261759881385</v>
      </c>
      <c r="P96" s="282">
        <v>115.31</v>
      </c>
      <c r="Q96" s="78">
        <f t="shared" si="41"/>
        <v>-6.8352589480487946E-2</v>
      </c>
      <c r="R96" s="78">
        <f t="shared" si="63"/>
        <v>-7.247758948048795E-2</v>
      </c>
      <c r="S96" s="78">
        <f t="shared" si="72"/>
        <v>-0.1209299948913814</v>
      </c>
      <c r="T96" s="79">
        <f t="shared" si="64"/>
        <v>4.6029539860903232E-2</v>
      </c>
      <c r="U96" s="178">
        <v>54.935000000000002</v>
      </c>
      <c r="V96" s="78">
        <f t="shared" si="43"/>
        <v>2.414243102162561E-2</v>
      </c>
      <c r="W96" s="78">
        <f t="shared" si="65"/>
        <v>2.001743102162561E-2</v>
      </c>
      <c r="X96" s="78">
        <f t="shared" si="66"/>
        <v>-6.8356853151762048E-3</v>
      </c>
      <c r="Y96" s="79">
        <f t="shared" si="67"/>
        <v>2.1001273130947594E-2</v>
      </c>
      <c r="Z96" s="277">
        <v>101.97</v>
      </c>
      <c r="AA96" s="78">
        <f t="shared" si="44"/>
        <v>-4.9408035797520289E-2</v>
      </c>
      <c r="AB96" s="78">
        <f t="shared" si="68"/>
        <v>-5.3533035797520293E-2</v>
      </c>
      <c r="AC96" s="78">
        <f t="shared" si="69"/>
        <v>-5.1783255301172896E-3</v>
      </c>
      <c r="AD96" s="79">
        <f t="shared" si="70"/>
        <v>-6.7389587488798725E-2</v>
      </c>
      <c r="AE96" s="280">
        <v>444.11</v>
      </c>
      <c r="AF96" s="78">
        <f t="shared" si="45"/>
        <v>2.9390631156850588E-2</v>
      </c>
      <c r="AG96" s="78">
        <f t="shared" si="46"/>
        <v>2.5265631156850588E-2</v>
      </c>
      <c r="AH96" s="78">
        <f t="shared" si="47"/>
        <v>-0.15462626263992749</v>
      </c>
      <c r="AI96" s="79">
        <f t="shared" si="48"/>
        <v>0.16085701657538234</v>
      </c>
      <c r="AJ96" s="280">
        <v>114.8</v>
      </c>
      <c r="AK96" s="78">
        <f t="shared" si="49"/>
        <v>4.4871211431692037E-2</v>
      </c>
      <c r="AL96" s="78">
        <f t="shared" si="50"/>
        <v>4.0746211431692034E-2</v>
      </c>
      <c r="AM96" s="78">
        <f t="shared" si="51"/>
        <v>-0.13757204386270247</v>
      </c>
      <c r="AN96" s="79">
        <f t="shared" si="52"/>
        <v>0.15928337807299878</v>
      </c>
      <c r="AO96" s="179">
        <f t="shared" si="71"/>
        <v>248.28531367711309</v>
      </c>
      <c r="AP96" s="79">
        <f t="shared" si="53"/>
        <v>-2.1350859868517161E-2</v>
      </c>
      <c r="AQ96" s="178">
        <v>87.16</v>
      </c>
      <c r="AR96" s="78">
        <f t="shared" si="54"/>
        <v>-3.3809998891475401E-2</v>
      </c>
      <c r="AS96" s="78">
        <f t="shared" si="37"/>
        <v>-3.7934998891475405E-2</v>
      </c>
      <c r="AU96" s="241">
        <f>AP96-E96</f>
        <v>-1.7367232597717722E-2</v>
      </c>
    </row>
    <row r="97" spans="2:48">
      <c r="B97" s="74">
        <v>46023</v>
      </c>
      <c r="C97" s="75">
        <v>145.5</v>
      </c>
      <c r="D97" s="78">
        <f t="shared" si="38"/>
        <v>2.8341225528305758E-2</v>
      </c>
      <c r="E97" s="79">
        <f t="shared" si="55"/>
        <v>2.4216225528305758E-2</v>
      </c>
      <c r="F97" s="75">
        <v>474.63</v>
      </c>
      <c r="G97" s="78">
        <f t="shared" si="39"/>
        <v>0.12455575036724631</v>
      </c>
      <c r="H97" s="78">
        <f t="shared" si="56"/>
        <v>0.12043075036724631</v>
      </c>
      <c r="I97" s="78">
        <f t="shared" si="57"/>
        <v>2.7670751190598697E-2</v>
      </c>
      <c r="J97" s="79">
        <f t="shared" si="58"/>
        <v>6.54906506651797E-2</v>
      </c>
      <c r="K97" s="75">
        <v>351.42</v>
      </c>
      <c r="L97" s="78">
        <f t="shared" si="59"/>
        <v>0.1033248563624376</v>
      </c>
      <c r="M97" s="78">
        <f t="shared" si="60"/>
        <v>9.9199856362437597E-2</v>
      </c>
      <c r="N97" s="78">
        <f t="shared" si="61"/>
        <v>2.8691646454598305E-2</v>
      </c>
      <c r="O97" s="79">
        <f t="shared" si="62"/>
        <v>4.3238861396371384E-2</v>
      </c>
      <c r="P97" s="282">
        <v>119.78</v>
      </c>
      <c r="Q97" s="78">
        <f t="shared" si="41"/>
        <v>3.8765068077356579E-2</v>
      </c>
      <c r="R97" s="78">
        <f t="shared" si="63"/>
        <v>3.4640068077356576E-2</v>
      </c>
      <c r="S97" s="78">
        <f t="shared" si="72"/>
        <v>4.940702976462092E-2</v>
      </c>
      <c r="T97" s="79">
        <f t="shared" si="64"/>
        <v>-1.7189827237254561E-2</v>
      </c>
      <c r="U97" s="178">
        <v>57.04</v>
      </c>
      <c r="V97" s="78">
        <f t="shared" si="43"/>
        <v>3.8318012196231876E-2</v>
      </c>
      <c r="W97" s="78">
        <f t="shared" si="65"/>
        <v>3.4193012196231873E-2</v>
      </c>
      <c r="X97" s="78">
        <f t="shared" si="66"/>
        <v>4.1553711223493849E-2</v>
      </c>
      <c r="Y97" s="79">
        <f t="shared" si="67"/>
        <v>-1.3212542233116197E-2</v>
      </c>
      <c r="Z97" s="277">
        <v>112.26</v>
      </c>
      <c r="AA97" s="78">
        <f t="shared" si="44"/>
        <v>0.10091203295086792</v>
      </c>
      <c r="AB97" s="78">
        <f t="shared" si="68"/>
        <v>9.6787032950867921E-2</v>
      </c>
      <c r="AC97" s="78">
        <f t="shared" si="69"/>
        <v>3.147872287538047E-2</v>
      </c>
      <c r="AD97" s="79">
        <f t="shared" si="70"/>
        <v>4.6273432854091724E-2</v>
      </c>
      <c r="AE97" s="280">
        <v>487.94</v>
      </c>
      <c r="AF97" s="78">
        <f t="shared" si="45"/>
        <v>9.8691765553579058E-2</v>
      </c>
      <c r="AG97" s="78">
        <f t="shared" si="46"/>
        <v>9.4566765553579055E-2</v>
      </c>
      <c r="AH97" s="78">
        <f t="shared" si="47"/>
        <v>8.5131435566117991E-2</v>
      </c>
      <c r="AI97" s="79">
        <f t="shared" si="48"/>
        <v>-9.5995472339346632E-3</v>
      </c>
      <c r="AJ97" s="280">
        <v>136.13999999999999</v>
      </c>
      <c r="AK97" s="78">
        <f t="shared" si="49"/>
        <v>0.18588850174216009</v>
      </c>
      <c r="AL97" s="78">
        <f t="shared" si="50"/>
        <v>0.18176350174216011</v>
      </c>
      <c r="AM97" s="78">
        <f t="shared" si="51"/>
        <v>5.6206287546851585E-2</v>
      </c>
      <c r="AN97" s="79">
        <f t="shared" si="52"/>
        <v>0.10652233697391281</v>
      </c>
      <c r="AO97" s="179">
        <f t="shared" si="71"/>
        <v>273.70505162753761</v>
      </c>
      <c r="AP97" s="79">
        <f t="shared" si="53"/>
        <v>0.10238115808767495</v>
      </c>
      <c r="AQ97" s="178">
        <v>87.13</v>
      </c>
      <c r="AR97" s="78">
        <f t="shared" si="54"/>
        <v>-3.4419458467183084E-4</v>
      </c>
      <c r="AS97" s="78">
        <f t="shared" si="37"/>
        <v>-4.469194584671831E-3</v>
      </c>
      <c r="AU97" s="241">
        <f>AP97-E97</f>
        <v>7.8164932559369196E-2</v>
      </c>
    </row>
    <row r="98" spans="2:48">
      <c r="B98" s="74">
        <v>46054</v>
      </c>
      <c r="C98" s="75">
        <v>147.38</v>
      </c>
      <c r="D98" s="78">
        <f>C98/C97-1</f>
        <v>1.2920962199312713E-2</v>
      </c>
      <c r="E98" s="79">
        <f t="shared" si="55"/>
        <v>8.7959621993127131E-3</v>
      </c>
      <c r="F98" s="75">
        <v>563.08000000000004</v>
      </c>
      <c r="G98" s="78">
        <f t="shared" si="39"/>
        <v>0.18635568758822663</v>
      </c>
      <c r="H98" s="78">
        <f t="shared" si="56"/>
        <v>0.18223068758822664</v>
      </c>
      <c r="I98" s="78">
        <f t="shared" si="57"/>
        <v>1.005073566128626E-2</v>
      </c>
      <c r="J98" s="79">
        <f t="shared" si="58"/>
        <v>0.14491060341547246</v>
      </c>
      <c r="K98" s="75">
        <v>375.92</v>
      </c>
      <c r="L98" s="78">
        <f t="shared" si="59"/>
        <v>6.9717147572704974E-2</v>
      </c>
      <c r="M98" s="78">
        <f t="shared" si="60"/>
        <v>6.559214757270497E-2</v>
      </c>
      <c r="N98" s="78">
        <f t="shared" si="61"/>
        <v>1.0421551341917485E-2</v>
      </c>
      <c r="O98" s="79">
        <f t="shared" si="62"/>
        <v>2.7901247719319577E-2</v>
      </c>
      <c r="P98" s="282">
        <v>133.82</v>
      </c>
      <c r="Q98" s="78">
        <f t="shared" si="41"/>
        <v>0.11721489397228235</v>
      </c>
      <c r="R98" s="78">
        <f t="shared" si="63"/>
        <v>0.11308989397228235</v>
      </c>
      <c r="S98" s="78">
        <f t="shared" si="72"/>
        <v>3.188145413686054E-2</v>
      </c>
      <c r="T98" s="79">
        <f t="shared" si="64"/>
        <v>7.8785574285431592E-2</v>
      </c>
      <c r="U98" s="178">
        <v>65.209999999999994</v>
      </c>
      <c r="V98" s="78">
        <f t="shared" si="43"/>
        <v>0.14323281907433372</v>
      </c>
      <c r="W98" s="78">
        <f t="shared" si="65"/>
        <v>0.13910781907433373</v>
      </c>
      <c r="X98" s="78">
        <f t="shared" si="66"/>
        <v>1.5093387395809415E-2</v>
      </c>
      <c r="Y98" s="79">
        <f t="shared" si="67"/>
        <v>0.1181625884726701</v>
      </c>
      <c r="Z98" s="277">
        <v>118.36</v>
      </c>
      <c r="AA98" s="78">
        <f t="shared" si="44"/>
        <v>5.4338143595225263E-2</v>
      </c>
      <c r="AB98" s="78">
        <f t="shared" si="68"/>
        <v>5.021314359522526E-2</v>
      </c>
      <c r="AC98" s="78">
        <f t="shared" si="69"/>
        <v>1.143388990042408E-2</v>
      </c>
      <c r="AD98" s="79">
        <f t="shared" si="70"/>
        <v>1.9744376473405455E-2</v>
      </c>
      <c r="AE98" s="280">
        <v>511.63</v>
      </c>
      <c r="AF98" s="78">
        <f t="shared" si="45"/>
        <v>4.8551051358773689E-2</v>
      </c>
      <c r="AG98" s="78">
        <f t="shared" si="46"/>
        <v>4.4426051358773685E-2</v>
      </c>
      <c r="AH98" s="78">
        <f t="shared" si="47"/>
        <v>0.18836960042711345</v>
      </c>
      <c r="AI98" s="79">
        <f t="shared" si="48"/>
        <v>-0.1629784262897355</v>
      </c>
      <c r="AJ98" s="280">
        <v>117.96</v>
      </c>
      <c r="AK98" s="78">
        <f t="shared" si="49"/>
        <v>-0.13353900396650498</v>
      </c>
      <c r="AL98" s="78">
        <f t="shared" si="50"/>
        <v>-0.13766400396650497</v>
      </c>
      <c r="AM98" s="78">
        <f t="shared" si="51"/>
        <v>3.6268891029577831E-2</v>
      </c>
      <c r="AN98" s="79">
        <f t="shared" si="52"/>
        <v>-0.19296777221747852</v>
      </c>
      <c r="AO98" s="179">
        <f t="shared" si="71"/>
        <v>288.17938656605293</v>
      </c>
      <c r="AP98" s="79">
        <f t="shared" si="53"/>
        <v>5.2882965997325532E-2</v>
      </c>
      <c r="AQ98" s="178">
        <v>90.82</v>
      </c>
      <c r="AR98" s="78">
        <f>AQ98/AQ97-1</f>
        <v>4.2350510731091529E-2</v>
      </c>
      <c r="AS98" s="78">
        <f t="shared" si="37"/>
        <v>3.8225510731091525E-2</v>
      </c>
      <c r="AU98" s="241">
        <f>AP98-E98</f>
        <v>4.4087003798012822E-2</v>
      </c>
    </row>
    <row r="99" spans="2:48">
      <c r="B99" s="74">
        <v>46082</v>
      </c>
      <c r="C99" s="75">
        <v>138.37</v>
      </c>
      <c r="D99" s="78">
        <f t="shared" si="38"/>
        <v>-6.1134482290677084E-2</v>
      </c>
      <c r="E99" s="79">
        <f t="shared" si="55"/>
        <v>-6.5259482290677087E-2</v>
      </c>
      <c r="F99" s="75">
        <v>549.02</v>
      </c>
      <c r="G99" s="78">
        <f t="shared" si="39"/>
        <v>-2.496980890814815E-2</v>
      </c>
      <c r="H99" s="78">
        <f t="shared" si="56"/>
        <v>-2.909480890814815E-2</v>
      </c>
      <c r="I99" s="78">
        <f t="shared" si="57"/>
        <v>-7.456896596795716E-2</v>
      </c>
      <c r="J99" s="79">
        <f t="shared" si="58"/>
        <v>1.8204808548341098E-2</v>
      </c>
      <c r="K99" s="75">
        <v>357.67</v>
      </c>
      <c r="L99" s="78">
        <f t="shared" si="59"/>
        <v>-4.8547563311342801E-2</v>
      </c>
      <c r="M99" s="78">
        <f t="shared" si="60"/>
        <v>-5.2672563311342804E-2</v>
      </c>
      <c r="N99" s="78">
        <f t="shared" si="61"/>
        <v>-7.7320141881963442E-2</v>
      </c>
      <c r="O99" s="79">
        <f t="shared" si="62"/>
        <v>-2.6217699408472711E-3</v>
      </c>
      <c r="P99" s="282">
        <v>131.08000000000001</v>
      </c>
      <c r="Q99" s="78">
        <f t="shared" si="41"/>
        <v>-2.0475265281721611E-2</v>
      </c>
      <c r="R99" s="78">
        <f t="shared" si="63"/>
        <v>-2.4600265281721611E-2</v>
      </c>
      <c r="S99" s="78">
        <f t="shared" si="72"/>
        <v>-2.9957742021925688E-3</v>
      </c>
      <c r="T99" s="79">
        <f t="shared" si="64"/>
        <v>-2.4027356629519256E-2</v>
      </c>
      <c r="U99" s="178">
        <v>54.43</v>
      </c>
      <c r="V99" s="78">
        <f t="shared" si="43"/>
        <v>-0.16531206870111936</v>
      </c>
      <c r="W99" s="78">
        <f t="shared" si="65"/>
        <v>-0.16943706870111935</v>
      </c>
      <c r="X99" s="78">
        <f t="shared" si="66"/>
        <v>-0.11198168263389272</v>
      </c>
      <c r="Y99" s="79">
        <f t="shared" si="67"/>
        <v>-6.3307229273080856E-2</v>
      </c>
      <c r="Z99" s="277">
        <v>118.28</v>
      </c>
      <c r="AA99" s="78">
        <f t="shared" si="44"/>
        <v>-6.7590402162887031E-4</v>
      </c>
      <c r="AB99" s="78">
        <f t="shared" si="68"/>
        <v>-4.8009040216288705E-3</v>
      </c>
      <c r="AC99" s="78">
        <f t="shared" si="69"/>
        <v>-8.4830939306285338E-2</v>
      </c>
      <c r="AD99" s="79">
        <f t="shared" si="70"/>
        <v>6.0995158063260745E-2</v>
      </c>
      <c r="AE99" s="280">
        <v>490.74</v>
      </c>
      <c r="AF99" s="78">
        <f t="shared" si="45"/>
        <v>-4.0830287512460095E-2</v>
      </c>
      <c r="AG99" s="78">
        <f t="shared" si="46"/>
        <v>-4.4955287512460099E-2</v>
      </c>
      <c r="AH99" s="78">
        <f t="shared" si="47"/>
        <v>2.3664469205687984E-2</v>
      </c>
      <c r="AI99" s="79">
        <f t="shared" si="48"/>
        <v>-8.7654633939543813E-2</v>
      </c>
      <c r="AJ99" s="280">
        <v>110.8</v>
      </c>
      <c r="AK99" s="78">
        <f t="shared" si="49"/>
        <v>-6.0698541878602907E-2</v>
      </c>
      <c r="AL99" s="78">
        <f t="shared" si="50"/>
        <v>-6.4823541878602911E-2</v>
      </c>
      <c r="AM99" s="78">
        <f t="shared" si="51"/>
        <v>-3.4080443013080886E-3</v>
      </c>
      <c r="AN99" s="79">
        <f t="shared" si="52"/>
        <v>-8.0450374798690549E-2</v>
      </c>
      <c r="AO99" s="179">
        <f t="shared" si="71"/>
        <v>268.10661230321392</v>
      </c>
      <c r="AP99" s="79">
        <f t="shared" si="53"/>
        <v>-6.9653747625832235E-2</v>
      </c>
      <c r="AQ99" s="178">
        <v>86.69</v>
      </c>
      <c r="AR99" s="78">
        <f t="shared" ref="AR99" si="73">AQ99/AQ98-1</f>
        <v>-4.5474565073772233E-2</v>
      </c>
      <c r="AS99" s="78">
        <f t="shared" si="37"/>
        <v>-4.9599565073772237E-2</v>
      </c>
      <c r="AU99" s="241">
        <f>AP99-E99</f>
        <v>-4.3942653351551481E-3</v>
      </c>
    </row>
    <row r="100" spans="2:48">
      <c r="B100" s="74">
        <v>46113</v>
      </c>
      <c r="C100" s="236">
        <v>150.41</v>
      </c>
      <c r="D100" s="237">
        <f>C100/C99-1</f>
        <v>8.7013080870130821E-2</v>
      </c>
      <c r="E100" s="238">
        <f t="shared" si="55"/>
        <v>8.2888080870130817E-2</v>
      </c>
      <c r="F100" s="236">
        <v>598.14</v>
      </c>
      <c r="G100" s="237">
        <f t="shared" si="39"/>
        <v>8.9468507522494578E-2</v>
      </c>
      <c r="H100" s="237">
        <f t="shared" si="56"/>
        <v>8.5343507522494574E-2</v>
      </c>
      <c r="I100" s="237">
        <f t="shared" si="57"/>
        <v>9.4712343166060656E-2</v>
      </c>
      <c r="J100" s="238">
        <f t="shared" si="58"/>
        <v>-3.663818415503399E-2</v>
      </c>
      <c r="K100" s="236">
        <v>406.19</v>
      </c>
      <c r="L100" s="237">
        <f t="shared" si="59"/>
        <v>0.13565577208040924</v>
      </c>
      <c r="M100" s="237">
        <f t="shared" si="60"/>
        <v>0.13153077208040925</v>
      </c>
      <c r="N100" s="237">
        <f t="shared" si="61"/>
        <v>9.8206696532708262E-2</v>
      </c>
      <c r="O100" s="238">
        <f t="shared" si="62"/>
        <v>6.0547270362330818E-3</v>
      </c>
      <c r="P100" s="283">
        <v>133.28</v>
      </c>
      <c r="Q100" s="237">
        <f t="shared" si="41"/>
        <v>1.6783643576441687E-2</v>
      </c>
      <c r="R100" s="237">
        <f t="shared" si="63"/>
        <v>1.2658643576441687E-2</v>
      </c>
      <c r="S100" s="237">
        <f t="shared" si="72"/>
        <v>6.9184541228675209E-3</v>
      </c>
      <c r="T100" s="238">
        <f t="shared" si="64"/>
        <v>3.3173239035839529E-3</v>
      </c>
      <c r="U100" s="240">
        <v>65.680000000000007</v>
      </c>
      <c r="V100" s="237">
        <f t="shared" si="43"/>
        <v>0.20668748851736196</v>
      </c>
      <c r="W100" s="237">
        <f t="shared" si="65"/>
        <v>0.20256248851736197</v>
      </c>
      <c r="X100" s="237">
        <f t="shared" si="66"/>
        <v>0.14223138830289855</v>
      </c>
      <c r="Y100" s="238">
        <f t="shared" si="67"/>
        <v>5.44792570086092E-2</v>
      </c>
      <c r="Z100" s="278">
        <v>134</v>
      </c>
      <c r="AA100" s="237">
        <f t="shared" si="44"/>
        <v>0.13290497125464995</v>
      </c>
      <c r="AB100" s="237">
        <f t="shared" si="68"/>
        <v>0.12877997125464996</v>
      </c>
      <c r="AC100" s="237">
        <f t="shared" si="69"/>
        <v>0.10774639195250019</v>
      </c>
      <c r="AD100" s="238">
        <f t="shared" si="70"/>
        <v>1.9987020807540473E-3</v>
      </c>
      <c r="AE100" s="281">
        <v>539.33000000000004</v>
      </c>
      <c r="AF100" s="237">
        <f t="shared" si="45"/>
        <v>9.9013734360353878E-2</v>
      </c>
      <c r="AG100" s="237">
        <f t="shared" si="46"/>
        <v>9.4888734360353874E-2</v>
      </c>
      <c r="AH100" s="237">
        <f t="shared" si="47"/>
        <v>-4.7626053214832313E-2</v>
      </c>
      <c r="AI100" s="238">
        <f t="shared" si="48"/>
        <v>0.12347991035379047</v>
      </c>
      <c r="AJ100" s="281">
        <v>120.9</v>
      </c>
      <c r="AK100" s="78">
        <f t="shared" si="49"/>
        <v>9.1155234657039896E-2</v>
      </c>
      <c r="AL100" s="78">
        <f t="shared" si="50"/>
        <v>8.7030234657039893E-2</v>
      </c>
      <c r="AM100" s="78">
        <f t="shared" si="51"/>
        <v>7.8705525036043677E-3</v>
      </c>
      <c r="AN100" s="79">
        <f t="shared" si="52"/>
        <v>6.0124804932039796E-2</v>
      </c>
      <c r="AO100" s="260">
        <f t="shared" si="71"/>
        <v>302.12512404008248</v>
      </c>
      <c r="AP100" s="79">
        <f t="shared" si="53"/>
        <v>0.12688426982321321</v>
      </c>
      <c r="AQ100" s="240">
        <v>87.07</v>
      </c>
      <c r="AR100" s="237">
        <f>AQ100/AQ99-1</f>
        <v>4.383435228976662E-3</v>
      </c>
      <c r="AS100" s="237">
        <f t="shared" si="37"/>
        <v>2.5843522897666185E-4</v>
      </c>
      <c r="AT100" s="37"/>
      <c r="AU100" s="242">
        <f>AP100-E100</f>
        <v>4.3996188953082396E-2</v>
      </c>
    </row>
    <row r="101" spans="2:48">
      <c r="B101" s="80"/>
      <c r="D101" s="235"/>
      <c r="E101" s="244"/>
      <c r="F101" t="s">
        <v>110</v>
      </c>
      <c r="G101"/>
      <c r="H101"/>
      <c r="I101"/>
      <c r="J101"/>
      <c r="K101" t="s">
        <v>110</v>
      </c>
      <c r="L101"/>
      <c r="M101"/>
      <c r="N101"/>
      <c r="O101"/>
      <c r="P101" t="s">
        <v>110</v>
      </c>
      <c r="Q101"/>
      <c r="R101"/>
      <c r="S101"/>
      <c r="T101"/>
      <c r="U101" t="s">
        <v>110</v>
      </c>
      <c r="V101"/>
      <c r="W101"/>
      <c r="X101"/>
      <c r="Y101"/>
      <c r="Z101" t="s">
        <v>110</v>
      </c>
      <c r="AA101"/>
      <c r="AB101"/>
      <c r="AC101"/>
      <c r="AD101"/>
      <c r="AE101" t="s">
        <v>110</v>
      </c>
      <c r="AF101"/>
      <c r="AG101"/>
      <c r="AH101"/>
      <c r="AI101"/>
      <c r="AJ101" t="s">
        <v>110</v>
      </c>
      <c r="AK101"/>
      <c r="AL101"/>
      <c r="AM101"/>
      <c r="AN101"/>
      <c r="AO101"/>
      <c r="AP101"/>
      <c r="AQ101"/>
      <c r="AR101"/>
      <c r="AU101" s="241">
        <f>AVERAGE(AU42:AU100)*12</f>
        <v>0.20896073002476268</v>
      </c>
      <c r="AV101" s="246" t="s">
        <v>191</v>
      </c>
    </row>
    <row r="102" spans="2:48" ht="17" thickBot="1">
      <c r="D102" s="239"/>
      <c r="E102" s="245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U102" s="78">
        <f>_xlfn.STDEV.S(AU42:AU100)</f>
        <v>4.1913999881566875E-2</v>
      </c>
      <c r="AV102" s="246" t="s">
        <v>192</v>
      </c>
    </row>
    <row r="103" spans="2:48">
      <c r="E103" s="51"/>
      <c r="F103" s="301" t="s">
        <v>111</v>
      </c>
      <c r="G103" s="301"/>
      <c r="H103"/>
      <c r="I103"/>
      <c r="J103"/>
      <c r="K103" s="301" t="s">
        <v>111</v>
      </c>
      <c r="L103" s="301"/>
      <c r="M103"/>
      <c r="N103"/>
      <c r="O103"/>
      <c r="P103" s="301" t="s">
        <v>111</v>
      </c>
      <c r="Q103" s="301"/>
      <c r="R103"/>
      <c r="S103"/>
      <c r="T103"/>
      <c r="U103" s="301" t="s">
        <v>111</v>
      </c>
      <c r="V103" s="301"/>
      <c r="W103"/>
      <c r="X103"/>
      <c r="Y103"/>
      <c r="Z103" s="301" t="s">
        <v>111</v>
      </c>
      <c r="AA103" s="301"/>
      <c r="AB103"/>
      <c r="AC103"/>
      <c r="AD103"/>
      <c r="AE103" s="301" t="s">
        <v>111</v>
      </c>
      <c r="AF103" s="301"/>
      <c r="AG103"/>
      <c r="AH103"/>
      <c r="AI103"/>
      <c r="AJ103" s="301" t="s">
        <v>111</v>
      </c>
      <c r="AK103" s="301"/>
      <c r="AL103"/>
      <c r="AM103"/>
      <c r="AN103"/>
      <c r="AO103"/>
      <c r="AP103"/>
      <c r="AQ103"/>
      <c r="AR103"/>
      <c r="AS103"/>
      <c r="AU103" s="153">
        <f>CORREL(AP42:AP100,E42:E100)</f>
        <v>0.80746251814479664</v>
      </c>
      <c r="AV103" s="247" t="s">
        <v>193</v>
      </c>
    </row>
    <row r="104" spans="2:48">
      <c r="E104" s="51"/>
      <c r="F104" s="298" t="s">
        <v>112</v>
      </c>
      <c r="G104" s="298">
        <v>0.54644867460457658</v>
      </c>
      <c r="H104"/>
      <c r="I104"/>
      <c r="J104"/>
      <c r="K104" s="298" t="s">
        <v>112</v>
      </c>
      <c r="L104" s="298">
        <v>0.65154134048304579</v>
      </c>
      <c r="M104"/>
      <c r="N104"/>
      <c r="O104"/>
      <c r="P104" s="298" t="s">
        <v>112</v>
      </c>
      <c r="Q104" s="298">
        <v>0.5184996361455404</v>
      </c>
      <c r="R104"/>
      <c r="S104"/>
      <c r="T104"/>
      <c r="U104" s="298" t="s">
        <v>112</v>
      </c>
      <c r="V104" s="298">
        <v>0.83708700792465562</v>
      </c>
      <c r="W104"/>
      <c r="X104"/>
      <c r="Y104"/>
      <c r="Z104" s="298" t="s">
        <v>112</v>
      </c>
      <c r="AA104" s="298">
        <v>0.64826514457479101</v>
      </c>
      <c r="AB104"/>
      <c r="AC104"/>
      <c r="AD104"/>
      <c r="AE104" s="298" t="s">
        <v>112</v>
      </c>
      <c r="AF104" s="298">
        <v>0.53259562226587065</v>
      </c>
      <c r="AG104"/>
      <c r="AH104"/>
      <c r="AI104"/>
      <c r="AJ104" s="298" t="s">
        <v>112</v>
      </c>
      <c r="AK104" s="298">
        <v>0.51438428419368309</v>
      </c>
      <c r="AL104"/>
      <c r="AM104"/>
      <c r="AN104"/>
      <c r="AO104"/>
      <c r="AP104"/>
      <c r="AQ104"/>
      <c r="AR104"/>
      <c r="AS104"/>
      <c r="AU104" s="153">
        <f>RSQ(AP42:AP100,E42:E100)</f>
        <v>0.65199571820873603</v>
      </c>
      <c r="AV104" s="247" t="s">
        <v>194</v>
      </c>
    </row>
    <row r="105" spans="2:48">
      <c r="E105" s="51"/>
      <c r="F105" s="298" t="s">
        <v>113</v>
      </c>
      <c r="G105" s="298">
        <v>0.29860615397709839</v>
      </c>
      <c r="H105"/>
      <c r="I105"/>
      <c r="J105"/>
      <c r="K105" s="298" t="s">
        <v>113</v>
      </c>
      <c r="L105" s="298">
        <v>0.42450611835844421</v>
      </c>
      <c r="M105"/>
      <c r="N105"/>
      <c r="O105"/>
      <c r="P105" s="298" t="s">
        <v>113</v>
      </c>
      <c r="Q105" s="298">
        <v>0.26884187268305781</v>
      </c>
      <c r="R105"/>
      <c r="S105"/>
      <c r="T105"/>
      <c r="U105" s="298" t="s">
        <v>113</v>
      </c>
      <c r="V105" s="298">
        <v>0.7007146588362525</v>
      </c>
      <c r="W105"/>
      <c r="X105"/>
      <c r="Y105"/>
      <c r="Z105" s="298" t="s">
        <v>113</v>
      </c>
      <c r="AA105" s="298">
        <v>0.42024769767057463</v>
      </c>
      <c r="AB105"/>
      <c r="AC105"/>
      <c r="AD105"/>
      <c r="AE105" s="298" t="s">
        <v>113</v>
      </c>
      <c r="AF105" s="298">
        <v>0.28365809685677001</v>
      </c>
      <c r="AG105"/>
      <c r="AH105"/>
      <c r="AI105"/>
      <c r="AJ105" s="298" t="s">
        <v>113</v>
      </c>
      <c r="AK105" s="298">
        <v>0.26459119182544777</v>
      </c>
      <c r="AL105"/>
      <c r="AM105"/>
      <c r="AN105"/>
      <c r="AO105"/>
      <c r="AP105"/>
      <c r="AQ105"/>
      <c r="AR105"/>
      <c r="AS105"/>
      <c r="AU105" s="153">
        <f>SLOPE(AP42:AP100,E42:E100)</f>
        <v>1.2735790107626526</v>
      </c>
      <c r="AV105" s="247" t="s">
        <v>195</v>
      </c>
    </row>
    <row r="106" spans="2:48">
      <c r="E106" s="51"/>
      <c r="F106" s="298" t="s">
        <v>114</v>
      </c>
      <c r="G106" s="298">
        <v>0.28630099878371412</v>
      </c>
      <c r="H106"/>
      <c r="I106"/>
      <c r="J106"/>
      <c r="K106" s="298" t="s">
        <v>114</v>
      </c>
      <c r="L106" s="298">
        <v>0.41440973446999591</v>
      </c>
      <c r="M106"/>
      <c r="N106"/>
      <c r="O106"/>
      <c r="P106" s="298" t="s">
        <v>114</v>
      </c>
      <c r="Q106" s="298">
        <v>0.2560145371160939</v>
      </c>
      <c r="R106"/>
      <c r="S106"/>
      <c r="T106"/>
      <c r="U106" s="298" t="s">
        <v>114</v>
      </c>
      <c r="V106" s="298">
        <v>0.69546403881583596</v>
      </c>
      <c r="W106"/>
      <c r="X106"/>
      <c r="Y106"/>
      <c r="Z106" s="298" t="s">
        <v>114</v>
      </c>
      <c r="AA106" s="298">
        <v>0.41007660464725137</v>
      </c>
      <c r="AB106"/>
      <c r="AC106"/>
      <c r="AD106"/>
      <c r="AE106" s="298" t="s">
        <v>114</v>
      </c>
      <c r="AF106" s="298">
        <v>0.27109069504723965</v>
      </c>
      <c r="AG106"/>
      <c r="AH106"/>
      <c r="AI106"/>
      <c r="AJ106" s="298" t="s">
        <v>114</v>
      </c>
      <c r="AK106" s="298">
        <v>0.25168928291010473</v>
      </c>
      <c r="AL106"/>
      <c r="AM106"/>
      <c r="AN106"/>
      <c r="AO106"/>
      <c r="AP106"/>
      <c r="AQ106"/>
      <c r="AR106"/>
      <c r="AS106"/>
    </row>
    <row r="107" spans="2:48">
      <c r="E107" s="51"/>
      <c r="F107" s="298" t="s">
        <v>115</v>
      </c>
      <c r="G107" s="298">
        <v>7.6345022954139127E-2</v>
      </c>
      <c r="H107"/>
      <c r="I107"/>
      <c r="J107"/>
      <c r="K107" s="298" t="s">
        <v>115</v>
      </c>
      <c r="L107" s="298">
        <v>6.0139807158768183E-2</v>
      </c>
      <c r="M107"/>
      <c r="N107"/>
      <c r="O107"/>
      <c r="P107" s="298" t="s">
        <v>115</v>
      </c>
      <c r="Q107" s="298">
        <v>4.7432091963073263E-2</v>
      </c>
      <c r="R107"/>
      <c r="S107"/>
      <c r="T107"/>
      <c r="U107" s="298" t="s">
        <v>115</v>
      </c>
      <c r="V107" s="298">
        <v>4.8888883692027485E-2</v>
      </c>
      <c r="W107"/>
      <c r="X107"/>
      <c r="Y107"/>
      <c r="Z107" s="298" t="s">
        <v>115</v>
      </c>
      <c r="AA107" s="298">
        <v>6.6560083168728107E-2</v>
      </c>
      <c r="AB107"/>
      <c r="AC107"/>
      <c r="AD107"/>
      <c r="AE107" s="298" t="s">
        <v>115</v>
      </c>
      <c r="AF107" s="298">
        <v>6.8311768458114291E-2</v>
      </c>
      <c r="AG107"/>
      <c r="AH107"/>
      <c r="AI107"/>
      <c r="AJ107" s="298" t="s">
        <v>115</v>
      </c>
      <c r="AK107" s="298">
        <v>7.7314724597889975E-2</v>
      </c>
      <c r="AL107"/>
      <c r="AM107"/>
      <c r="AN107"/>
      <c r="AO107"/>
      <c r="AP107"/>
      <c r="AQ107"/>
      <c r="AR107"/>
      <c r="AS107"/>
    </row>
    <row r="108" spans="2:48" ht="17" thickBot="1">
      <c r="E108" s="51"/>
      <c r="F108" s="299" t="s">
        <v>116</v>
      </c>
      <c r="G108" s="299">
        <v>59</v>
      </c>
      <c r="H108"/>
      <c r="I108"/>
      <c r="J108"/>
      <c r="K108" s="299" t="s">
        <v>116</v>
      </c>
      <c r="L108" s="299">
        <v>59</v>
      </c>
      <c r="M108"/>
      <c r="N108"/>
      <c r="O108"/>
      <c r="P108" s="299" t="s">
        <v>116</v>
      </c>
      <c r="Q108" s="299">
        <v>59</v>
      </c>
      <c r="R108"/>
      <c r="S108"/>
      <c r="T108"/>
      <c r="U108" s="299" t="s">
        <v>116</v>
      </c>
      <c r="V108" s="299">
        <v>59</v>
      </c>
      <c r="W108"/>
      <c r="X108"/>
      <c r="Y108"/>
      <c r="Z108" s="299" t="s">
        <v>116</v>
      </c>
      <c r="AA108" s="299">
        <v>59</v>
      </c>
      <c r="AB108"/>
      <c r="AC108"/>
      <c r="AD108"/>
      <c r="AE108" s="299" t="s">
        <v>116</v>
      </c>
      <c r="AF108" s="299">
        <v>59</v>
      </c>
      <c r="AG108"/>
      <c r="AH108"/>
      <c r="AI108"/>
      <c r="AJ108" s="299" t="s">
        <v>116</v>
      </c>
      <c r="AK108" s="299">
        <v>59</v>
      </c>
      <c r="AL108"/>
      <c r="AM108"/>
      <c r="AN108"/>
      <c r="AO108"/>
      <c r="AP108"/>
      <c r="AQ108"/>
      <c r="AR108"/>
      <c r="AS108"/>
    </row>
    <row r="109" spans="2:48">
      <c r="E109" s="5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</row>
    <row r="110" spans="2:48" ht="17" thickBot="1">
      <c r="E110" s="51"/>
      <c r="F110" t="s">
        <v>117</v>
      </c>
      <c r="G110"/>
      <c r="H110"/>
      <c r="I110"/>
      <c r="J110"/>
      <c r="K110" t="s">
        <v>117</v>
      </c>
      <c r="L110"/>
      <c r="M110"/>
      <c r="N110"/>
      <c r="O110"/>
      <c r="P110" t="s">
        <v>117</v>
      </c>
      <c r="Q110"/>
      <c r="R110"/>
      <c r="S110"/>
      <c r="T110"/>
      <c r="U110" t="s">
        <v>117</v>
      </c>
      <c r="V110"/>
      <c r="W110"/>
      <c r="X110"/>
      <c r="Y110"/>
      <c r="Z110" t="s">
        <v>117</v>
      </c>
      <c r="AA110"/>
      <c r="AB110"/>
      <c r="AC110"/>
      <c r="AD110"/>
      <c r="AE110" t="s">
        <v>117</v>
      </c>
      <c r="AF110"/>
      <c r="AG110"/>
      <c r="AH110"/>
      <c r="AI110"/>
      <c r="AJ110" t="s">
        <v>117</v>
      </c>
      <c r="AK110"/>
      <c r="AL110"/>
      <c r="AM110"/>
      <c r="AN110"/>
      <c r="AO110"/>
      <c r="AP110"/>
      <c r="AQ110"/>
      <c r="AR110"/>
      <c r="AS110"/>
      <c r="AT110"/>
      <c r="AU110"/>
    </row>
    <row r="111" spans="2:48">
      <c r="E111" s="51"/>
      <c r="F111" s="300"/>
      <c r="G111" s="300" t="s">
        <v>122</v>
      </c>
      <c r="H111" s="300" t="s">
        <v>123</v>
      </c>
      <c r="I111" s="300" t="s">
        <v>124</v>
      </c>
      <c r="J111" s="300" t="s">
        <v>125</v>
      </c>
      <c r="K111" s="300"/>
      <c r="L111" s="300" t="s">
        <v>122</v>
      </c>
      <c r="M111" s="300" t="s">
        <v>123</v>
      </c>
      <c r="N111" s="300" t="s">
        <v>124</v>
      </c>
      <c r="O111" s="300" t="s">
        <v>125</v>
      </c>
      <c r="P111" s="300"/>
      <c r="Q111" s="300" t="s">
        <v>122</v>
      </c>
      <c r="R111" s="300" t="s">
        <v>123</v>
      </c>
      <c r="S111" s="300" t="s">
        <v>124</v>
      </c>
      <c r="T111" s="300" t="s">
        <v>125</v>
      </c>
      <c r="U111" s="300"/>
      <c r="V111" s="300" t="s">
        <v>122</v>
      </c>
      <c r="W111" s="300" t="s">
        <v>123</v>
      </c>
      <c r="X111" s="300" t="s">
        <v>124</v>
      </c>
      <c r="Y111" s="300" t="s">
        <v>125</v>
      </c>
      <c r="Z111" s="300"/>
      <c r="AA111" s="300" t="s">
        <v>122</v>
      </c>
      <c r="AB111" s="300" t="s">
        <v>123</v>
      </c>
      <c r="AC111" s="300" t="s">
        <v>124</v>
      </c>
      <c r="AD111" s="300" t="s">
        <v>125</v>
      </c>
      <c r="AE111" s="300"/>
      <c r="AF111" s="300" t="s">
        <v>122</v>
      </c>
      <c r="AG111" s="300" t="s">
        <v>123</v>
      </c>
      <c r="AH111" s="300" t="s">
        <v>124</v>
      </c>
      <c r="AI111" s="300" t="s">
        <v>125</v>
      </c>
      <c r="AJ111" s="300"/>
      <c r="AK111" s="300" t="s">
        <v>122</v>
      </c>
      <c r="AL111" s="300" t="s">
        <v>123</v>
      </c>
      <c r="AM111" s="300" t="s">
        <v>124</v>
      </c>
      <c r="AN111" s="300" t="s">
        <v>125</v>
      </c>
      <c r="AO111"/>
      <c r="AP111"/>
      <c r="AQ111"/>
      <c r="AR111"/>
      <c r="AS111"/>
      <c r="AT111"/>
      <c r="AU111"/>
    </row>
    <row r="112" spans="2:48">
      <c r="E112" s="51"/>
      <c r="F112" s="298" t="s">
        <v>118</v>
      </c>
      <c r="G112" s="298">
        <v>1</v>
      </c>
      <c r="H112" s="298">
        <v>0.1414402835971264</v>
      </c>
      <c r="I112" s="298">
        <v>0.1414402835971264</v>
      </c>
      <c r="J112" s="298">
        <v>24.266752372017336</v>
      </c>
      <c r="K112" s="298" t="s">
        <v>118</v>
      </c>
      <c r="L112" s="298">
        <v>1</v>
      </c>
      <c r="M112" s="298">
        <v>0.15206951516332584</v>
      </c>
      <c r="N112" s="298">
        <v>0.15206951516332584</v>
      </c>
      <c r="O112" s="298">
        <v>42.045362285019451</v>
      </c>
      <c r="P112" s="298" t="s">
        <v>118</v>
      </c>
      <c r="Q112" s="298">
        <v>1</v>
      </c>
      <c r="R112" s="298">
        <v>4.7152531567109329E-2</v>
      </c>
      <c r="S112" s="298">
        <v>4.7152531567109329E-2</v>
      </c>
      <c r="T112" s="298">
        <v>20.95851248917549</v>
      </c>
      <c r="U112" s="298" t="s">
        <v>118</v>
      </c>
      <c r="V112" s="298">
        <v>1</v>
      </c>
      <c r="W112" s="298">
        <v>0.31897074631748101</v>
      </c>
      <c r="X112" s="298">
        <v>0.31897074631748101</v>
      </c>
      <c r="Y112" s="298">
        <v>133.45369806072014</v>
      </c>
      <c r="Z112" s="298" t="s">
        <v>118</v>
      </c>
      <c r="AA112" s="298">
        <v>1</v>
      </c>
      <c r="AB112" s="298">
        <v>0.18304818558002278</v>
      </c>
      <c r="AC112" s="298">
        <v>0.18304818558002278</v>
      </c>
      <c r="AD112" s="298">
        <v>41.317850176663214</v>
      </c>
      <c r="AE112" s="298" t="s">
        <v>118</v>
      </c>
      <c r="AF112" s="298">
        <v>1</v>
      </c>
      <c r="AG112" s="298">
        <v>0.10532724897566481</v>
      </c>
      <c r="AH112" s="298">
        <v>0.10532724897566481</v>
      </c>
      <c r="AI112" s="298">
        <v>22.570941962057827</v>
      </c>
      <c r="AJ112" s="298" t="s">
        <v>118</v>
      </c>
      <c r="AK112" s="298">
        <v>1</v>
      </c>
      <c r="AL112" s="298">
        <v>0.12258740096355253</v>
      </c>
      <c r="AM112" s="298">
        <v>0.12258740096355253</v>
      </c>
      <c r="AN112" s="298">
        <v>20.507910384547394</v>
      </c>
      <c r="AO112"/>
      <c r="AP112"/>
      <c r="AQ112"/>
      <c r="AR112"/>
      <c r="AS112"/>
      <c r="AT112"/>
      <c r="AU112"/>
    </row>
    <row r="113" spans="3:47">
      <c r="E113" s="51"/>
      <c r="F113" s="298" t="s">
        <v>119</v>
      </c>
      <c r="G113" s="298">
        <v>57</v>
      </c>
      <c r="H113" s="298">
        <v>0.3322280642024778</v>
      </c>
      <c r="I113" s="298">
        <v>5.8285625298680312E-3</v>
      </c>
      <c r="J113" s="298"/>
      <c r="K113" s="298" t="s">
        <v>119</v>
      </c>
      <c r="L113" s="298">
        <v>57</v>
      </c>
      <c r="M113" s="298">
        <v>0.20615739509034803</v>
      </c>
      <c r="N113" s="298">
        <v>3.6167964050938251E-3</v>
      </c>
      <c r="O113" s="298"/>
      <c r="P113" s="298" t="s">
        <v>119</v>
      </c>
      <c r="Q113" s="298">
        <v>57</v>
      </c>
      <c r="R113" s="298">
        <v>0.12823879083562606</v>
      </c>
      <c r="S113" s="298">
        <v>2.2498033479934395E-3</v>
      </c>
      <c r="T113" s="298"/>
      <c r="U113" s="298" t="s">
        <v>119</v>
      </c>
      <c r="V113" s="298">
        <v>57</v>
      </c>
      <c r="W113" s="298">
        <v>0.13623700807319769</v>
      </c>
      <c r="X113" s="298">
        <v>2.3901229486525911E-3</v>
      </c>
      <c r="Y113" s="298"/>
      <c r="Z113" s="298" t="s">
        <v>119</v>
      </c>
      <c r="AA113" s="298">
        <v>57</v>
      </c>
      <c r="AB113" s="298">
        <v>0.25252394627139618</v>
      </c>
      <c r="AC113" s="298">
        <v>4.4302446714280033E-3</v>
      </c>
      <c r="AD113" s="298"/>
      <c r="AE113" s="298" t="s">
        <v>119</v>
      </c>
      <c r="AF113" s="298">
        <v>57</v>
      </c>
      <c r="AG113" s="298">
        <v>0.26599036946287608</v>
      </c>
      <c r="AH113" s="298">
        <v>4.6664977098750185E-3</v>
      </c>
      <c r="AI113" s="298"/>
      <c r="AJ113" s="298" t="s">
        <v>119</v>
      </c>
      <c r="AK113" s="298">
        <v>57</v>
      </c>
      <c r="AL113" s="298">
        <v>0.34072129845991167</v>
      </c>
      <c r="AM113" s="298">
        <v>5.9775666396475729E-3</v>
      </c>
      <c r="AN113" s="298"/>
      <c r="AO113"/>
      <c r="AP113"/>
      <c r="AQ113"/>
      <c r="AR113"/>
      <c r="AS113"/>
      <c r="AT113"/>
      <c r="AU113"/>
    </row>
    <row r="114" spans="3:47" ht="17" thickBot="1">
      <c r="E114" s="51"/>
      <c r="F114" s="299" t="s">
        <v>120</v>
      </c>
      <c r="G114" s="299">
        <v>58</v>
      </c>
      <c r="H114" s="299">
        <v>0.47366834779960421</v>
      </c>
      <c r="I114" s="299"/>
      <c r="J114" s="299"/>
      <c r="K114" s="299" t="s">
        <v>120</v>
      </c>
      <c r="L114" s="299">
        <v>58</v>
      </c>
      <c r="M114" s="299">
        <v>0.35822691025367387</v>
      </c>
      <c r="N114" s="299"/>
      <c r="O114" s="299"/>
      <c r="P114" s="299" t="s">
        <v>120</v>
      </c>
      <c r="Q114" s="299">
        <v>58</v>
      </c>
      <c r="R114" s="299">
        <v>0.17539132240273539</v>
      </c>
      <c r="S114" s="299"/>
      <c r="T114" s="299"/>
      <c r="U114" s="299" t="s">
        <v>120</v>
      </c>
      <c r="V114" s="299">
        <v>58</v>
      </c>
      <c r="W114" s="299">
        <v>0.45520775439067873</v>
      </c>
      <c r="X114" s="299"/>
      <c r="Y114" s="299"/>
      <c r="Z114" s="299" t="s">
        <v>120</v>
      </c>
      <c r="AA114" s="299">
        <v>58</v>
      </c>
      <c r="AB114" s="299">
        <v>0.43557213185141896</v>
      </c>
      <c r="AC114" s="299"/>
      <c r="AD114" s="299"/>
      <c r="AE114" s="299" t="s">
        <v>120</v>
      </c>
      <c r="AF114" s="299">
        <v>58</v>
      </c>
      <c r="AG114" s="299">
        <v>0.37131761843854089</v>
      </c>
      <c r="AH114" s="299"/>
      <c r="AI114" s="299"/>
      <c r="AJ114" s="299" t="s">
        <v>120</v>
      </c>
      <c r="AK114" s="299">
        <v>58</v>
      </c>
      <c r="AL114" s="299">
        <v>0.4633086994234642</v>
      </c>
      <c r="AM114" s="299"/>
      <c r="AN114" s="299"/>
      <c r="AO114"/>
      <c r="AP114"/>
      <c r="AQ114"/>
      <c r="AR114"/>
      <c r="AS114"/>
      <c r="AT114"/>
      <c r="AU114"/>
    </row>
    <row r="115" spans="3:47" ht="17" thickBot="1">
      <c r="E115" s="5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</row>
    <row r="116" spans="3:47">
      <c r="E116" s="51"/>
      <c r="F116" s="300"/>
      <c r="G116" s="300" t="s">
        <v>126</v>
      </c>
      <c r="H116" s="300" t="s">
        <v>115</v>
      </c>
      <c r="I116" s="300" t="s">
        <v>127</v>
      </c>
      <c r="J116" s="300" t="s">
        <v>128</v>
      </c>
      <c r="K116" s="300"/>
      <c r="L116" s="300" t="s">
        <v>126</v>
      </c>
      <c r="M116" s="300" t="s">
        <v>115</v>
      </c>
      <c r="N116" s="300" t="s">
        <v>127</v>
      </c>
      <c r="O116" s="300" t="s">
        <v>128</v>
      </c>
      <c r="P116" s="300"/>
      <c r="Q116" s="300" t="s">
        <v>126</v>
      </c>
      <c r="R116" s="300" t="s">
        <v>115</v>
      </c>
      <c r="S116" s="300" t="s">
        <v>127</v>
      </c>
      <c r="T116" s="300" t="s">
        <v>128</v>
      </c>
      <c r="U116" s="300"/>
      <c r="V116" s="300" t="s">
        <v>126</v>
      </c>
      <c r="W116" s="300" t="s">
        <v>115</v>
      </c>
      <c r="X116" s="300" t="s">
        <v>127</v>
      </c>
      <c r="Y116" s="300" t="s">
        <v>128</v>
      </c>
      <c r="Z116" s="300"/>
      <c r="AA116" s="300" t="s">
        <v>126</v>
      </c>
      <c r="AB116" s="300" t="s">
        <v>115</v>
      </c>
      <c r="AC116" s="300" t="s">
        <v>127</v>
      </c>
      <c r="AD116" s="300" t="s">
        <v>128</v>
      </c>
      <c r="AE116" s="300"/>
      <c r="AF116" s="300" t="s">
        <v>126</v>
      </c>
      <c r="AG116" s="300" t="s">
        <v>115</v>
      </c>
      <c r="AH116" s="300" t="s">
        <v>127</v>
      </c>
      <c r="AI116" s="300" t="s">
        <v>128</v>
      </c>
      <c r="AJ116" s="300"/>
      <c r="AK116" s="300" t="s">
        <v>126</v>
      </c>
      <c r="AL116" s="300" t="s">
        <v>115</v>
      </c>
      <c r="AM116" s="300" t="s">
        <v>127</v>
      </c>
      <c r="AN116" s="300" t="s">
        <v>128</v>
      </c>
      <c r="AO116"/>
      <c r="AP116"/>
      <c r="AQ116"/>
      <c r="AR116"/>
      <c r="AS116"/>
      <c r="AT116"/>
      <c r="AU116"/>
    </row>
    <row r="117" spans="3:47">
      <c r="E117" s="51"/>
      <c r="F117" s="298" t="s">
        <v>121</v>
      </c>
      <c r="G117" s="298">
        <v>2.7269348511467912E-2</v>
      </c>
      <c r="H117" s="298">
        <v>9.9748376755158519E-3</v>
      </c>
      <c r="I117" s="302">
        <v>2.7338137620427663</v>
      </c>
      <c r="J117" s="302">
        <v>8.3255021310606678E-3</v>
      </c>
      <c r="K117" s="298" t="s">
        <v>121</v>
      </c>
      <c r="L117" s="298">
        <v>1.214084899755446E-2</v>
      </c>
      <c r="M117" s="298">
        <v>7.8575497266651275E-3</v>
      </c>
      <c r="N117" s="302">
        <v>1.5451189518220503</v>
      </c>
      <c r="O117" s="302">
        <v>0.1278518958420844</v>
      </c>
      <c r="P117" s="298" t="s">
        <v>121</v>
      </c>
      <c r="Q117" s="298">
        <v>2.4228655499902141E-3</v>
      </c>
      <c r="R117" s="298">
        <v>6.1972267429404801E-3</v>
      </c>
      <c r="S117" s="302">
        <v>0.39095964218998464</v>
      </c>
      <c r="T117" s="302">
        <v>0.69728460730486419</v>
      </c>
      <c r="U117" s="298" t="s">
        <v>121</v>
      </c>
      <c r="V117" s="298">
        <v>5.8518432058542224E-3</v>
      </c>
      <c r="W117" s="298">
        <v>6.3875634598746208E-3</v>
      </c>
      <c r="X117" s="302">
        <v>0.91613073476519102</v>
      </c>
      <c r="Y117" s="302">
        <v>0.36345813200189914</v>
      </c>
      <c r="Z117" s="298" t="s">
        <v>121</v>
      </c>
      <c r="AA117" s="298">
        <v>1.903487722139572E-2</v>
      </c>
      <c r="AB117" s="298">
        <v>8.6963890976327514E-3</v>
      </c>
      <c r="AC117" s="302">
        <v>2.1888253857658246</v>
      </c>
      <c r="AD117" s="302">
        <v>3.2720866842293347E-2</v>
      </c>
      <c r="AE117" s="298" t="s">
        <v>121</v>
      </c>
      <c r="AF117" s="298">
        <v>1.3194445276169501E-2</v>
      </c>
      <c r="AG117" s="298">
        <v>8.9252550504364085E-3</v>
      </c>
      <c r="AH117" s="302">
        <v>1.4783269723507058</v>
      </c>
      <c r="AI117" s="302">
        <v>0.144825308185944</v>
      </c>
      <c r="AJ117" s="298" t="s">
        <v>121</v>
      </c>
      <c r="AK117" s="298">
        <v>2.408139787505444E-2</v>
      </c>
      <c r="AL117" s="298">
        <v>1.0101533773255006E-2</v>
      </c>
      <c r="AM117" s="302">
        <v>2.3839347979821404</v>
      </c>
      <c r="AN117" s="302">
        <v>2.0481029045740163E-2</v>
      </c>
      <c r="AO117"/>
      <c r="AP117"/>
      <c r="AQ117"/>
      <c r="AR117"/>
      <c r="AS117"/>
      <c r="AT117"/>
      <c r="AU117"/>
    </row>
    <row r="118" spans="3:47" ht="17" thickBot="1">
      <c r="E118" s="51"/>
      <c r="F118" s="299" t="s">
        <v>129</v>
      </c>
      <c r="G118" s="299">
        <v>1.1426533486093871</v>
      </c>
      <c r="H118" s="299">
        <v>0.23195763252617591</v>
      </c>
      <c r="I118" s="299">
        <v>4.9261295529063531</v>
      </c>
      <c r="J118" s="299">
        <v>7.5610944172619262E-6</v>
      </c>
      <c r="K118" s="299" t="s">
        <v>129</v>
      </c>
      <c r="L118" s="299">
        <v>1.184810837719583</v>
      </c>
      <c r="M118" s="299">
        <v>0.18272163330815167</v>
      </c>
      <c r="N118" s="299">
        <v>6.4842395302008589</v>
      </c>
      <c r="O118" s="299">
        <v>2.2900084737224059E-8</v>
      </c>
      <c r="P118" s="299" t="s">
        <v>129</v>
      </c>
      <c r="Q118" s="299">
        <v>0.65975158873433004</v>
      </c>
      <c r="R118" s="299">
        <v>0.14411202370228418</v>
      </c>
      <c r="S118" s="299">
        <v>4.5780467984911999</v>
      </c>
      <c r="T118" s="299">
        <v>2.5912130173262989E-5</v>
      </c>
      <c r="U118" s="299" t="s">
        <v>129</v>
      </c>
      <c r="V118" s="299">
        <v>1.7159450045145437</v>
      </c>
      <c r="W118" s="299">
        <v>0.14853816633027084</v>
      </c>
      <c r="X118" s="299">
        <v>11.552216153652951</v>
      </c>
      <c r="Y118" s="299">
        <v>1.4610716205290987E-16</v>
      </c>
      <c r="Z118" s="299" t="s">
        <v>129</v>
      </c>
      <c r="AA118" s="299">
        <v>1.2999021188742137</v>
      </c>
      <c r="AB118" s="299">
        <v>0.20222823591051775</v>
      </c>
      <c r="AC118" s="299">
        <v>6.4278962481252933</v>
      </c>
      <c r="AD118" s="299">
        <v>2.8386909658611767E-8</v>
      </c>
      <c r="AE118" s="299" t="s">
        <v>129</v>
      </c>
      <c r="AF118" s="299">
        <v>0.98604857090373332</v>
      </c>
      <c r="AG118" s="299">
        <v>0.20755034803956937</v>
      </c>
      <c r="AH118" s="299">
        <v>4.7508885444785847</v>
      </c>
      <c r="AI118" s="299">
        <v>1.4114158875993742E-5</v>
      </c>
      <c r="AJ118" s="299" t="s">
        <v>129</v>
      </c>
      <c r="AK118" s="299">
        <v>1.0637776368923129</v>
      </c>
      <c r="AL118" s="299">
        <v>0.23490385860402124</v>
      </c>
      <c r="AM118" s="299">
        <v>4.5285660406520982</v>
      </c>
      <c r="AN118" s="299">
        <v>3.0785684520180167E-5</v>
      </c>
      <c r="AO118"/>
      <c r="AP118"/>
      <c r="AQ118"/>
      <c r="AR118"/>
      <c r="AS118"/>
      <c r="AT118"/>
      <c r="AU118"/>
    </row>
    <row r="119" spans="3:47"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</row>
    <row r="120" spans="3:47"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</row>
    <row r="121" spans="3:47">
      <c r="C121" s="81"/>
      <c r="D121" s="8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</row>
    <row r="122" spans="3:47">
      <c r="C122" s="81"/>
      <c r="D122" s="81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</row>
    <row r="123" spans="3:47">
      <c r="C123" s="81"/>
      <c r="D123" s="81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</row>
    <row r="124" spans="3:47"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</row>
    <row r="125" spans="3:47"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</row>
    <row r="126" spans="3:47"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</row>
    <row r="127" spans="3:47"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</row>
    <row r="128" spans="3:47"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</row>
    <row r="129" spans="5:47"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</row>
    <row r="130" spans="5:47"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</row>
    <row r="131" spans="5:47"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</row>
    <row r="132" spans="5:47"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</row>
    <row r="133" spans="5:47"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</row>
    <row r="134" spans="5:47"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</row>
    <row r="135" spans="5:47"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</row>
    <row r="136" spans="5:47"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</row>
    <row r="137" spans="5:47"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</row>
    <row r="138" spans="5:47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</row>
    <row r="139" spans="5:47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</row>
    <row r="140" spans="5:47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</row>
    <row r="141" spans="5:47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AD141"/>
      <c r="AE141"/>
      <c r="AF141"/>
      <c r="AG141"/>
      <c r="AH141"/>
      <c r="AI141"/>
      <c r="AJ141"/>
      <c r="AK141"/>
      <c r="AL141"/>
      <c r="AM141"/>
      <c r="AN141"/>
    </row>
    <row r="142" spans="5:47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AD142"/>
      <c r="AE142"/>
      <c r="AF142"/>
      <c r="AG142"/>
      <c r="AH142"/>
      <c r="AI142"/>
      <c r="AJ142"/>
      <c r="AK142"/>
      <c r="AL142"/>
      <c r="AM142"/>
      <c r="AN142"/>
    </row>
    <row r="143" spans="5:47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</row>
  </sheetData>
  <mergeCells count="11">
    <mergeCell ref="F21:F24"/>
    <mergeCell ref="Z39:AD39"/>
    <mergeCell ref="AQ39:AS39"/>
    <mergeCell ref="C39:E39"/>
    <mergeCell ref="F39:J39"/>
    <mergeCell ref="K39:O39"/>
    <mergeCell ref="P39:T39"/>
    <mergeCell ref="U39:Y39"/>
    <mergeCell ref="AO39:AP39"/>
    <mergeCell ref="AE39:AI39"/>
    <mergeCell ref="AJ39:AN39"/>
  </mergeCells>
  <pageMargins left="0.25" right="0.25" top="0.75" bottom="0.75" header="0.3" footer="0.3"/>
  <pageSetup scale="49" orientation="landscape" horizontalDpi="0" verticalDpi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55EA-4DCB-8243-988C-BA08C9B0B5C0}">
  <dimension ref="B2:H18"/>
  <sheetViews>
    <sheetView showGridLines="0" zoomScale="134" workbookViewId="0">
      <selection activeCell="C8" sqref="C8"/>
    </sheetView>
  </sheetViews>
  <sheetFormatPr baseColWidth="10" defaultRowHeight="16"/>
  <cols>
    <col min="1" max="1" width="1.83203125" style="4" customWidth="1"/>
    <col min="2" max="2" width="30.83203125" style="4" customWidth="1"/>
    <col min="3" max="4" width="19.5" style="4" customWidth="1"/>
    <col min="5" max="5" width="13.6640625" style="4" customWidth="1"/>
    <col min="6" max="16384" width="10.83203125" style="4"/>
  </cols>
  <sheetData>
    <row r="2" spans="2:8" ht="18">
      <c r="B2" s="211" t="s">
        <v>214</v>
      </c>
    </row>
    <row r="4" spans="2:8">
      <c r="B4" s="5" t="s">
        <v>215</v>
      </c>
      <c r="C4" s="6"/>
    </row>
    <row r="5" spans="2:8">
      <c r="B5" s="4" t="s">
        <v>162</v>
      </c>
      <c r="C5" s="4">
        <v>25.8</v>
      </c>
      <c r="F5" s="212"/>
      <c r="H5" s="259" t="s">
        <v>213</v>
      </c>
    </row>
    <row r="6" spans="2:8">
      <c r="B6" s="4" t="s">
        <v>163</v>
      </c>
      <c r="C6" s="213">
        <v>3.4200000000000001E-2</v>
      </c>
      <c r="E6" s="212"/>
      <c r="H6" s="259" t="s">
        <v>213</v>
      </c>
    </row>
    <row r="7" spans="2:8">
      <c r="B7" s="4" t="s">
        <v>164</v>
      </c>
      <c r="C7" s="213">
        <v>4.9500000000000002E-2</v>
      </c>
      <c r="H7" s="259" t="s">
        <v>213</v>
      </c>
    </row>
    <row r="8" spans="2:8">
      <c r="B8" s="6" t="s">
        <v>165</v>
      </c>
      <c r="C8" s="29">
        <v>12</v>
      </c>
      <c r="F8" s="212"/>
      <c r="H8" s="259" t="s">
        <v>213</v>
      </c>
    </row>
    <row r="9" spans="2:8">
      <c r="B9" s="5" t="s">
        <v>166</v>
      </c>
      <c r="C9" s="5">
        <v>3.27</v>
      </c>
      <c r="H9" s="259" t="s">
        <v>213</v>
      </c>
    </row>
    <row r="10" spans="2:8">
      <c r="B10" s="27" t="s">
        <v>167</v>
      </c>
      <c r="C10" s="214">
        <v>86.83</v>
      </c>
      <c r="D10" s="4" t="e">
        <f ca="1">_xlfn.FORMULATEXT(C10)</f>
        <v>#N/A</v>
      </c>
    </row>
    <row r="11" spans="2:8">
      <c r="B11" s="27" t="s">
        <v>168</v>
      </c>
      <c r="C11" s="215">
        <f>MDURATION(DATE(2026,4,15), DATE(2026+C5,4,15), C6, C7, 2)</f>
        <v>15.433198437414534</v>
      </c>
      <c r="D11" s="4" t="str">
        <f ca="1">_xlfn.FORMULATEXT(C11)</f>
        <v>=MDURATION(DATE(2026,4,15), DATE(2026+C5,4,15), C6, C7, 2)</v>
      </c>
    </row>
    <row r="13" spans="2:8">
      <c r="B13" s="5" t="s">
        <v>169</v>
      </c>
      <c r="C13" s="216" t="s">
        <v>173</v>
      </c>
    </row>
    <row r="14" spans="2:8">
      <c r="B14" s="220" t="s">
        <v>170</v>
      </c>
      <c r="C14" s="221">
        <f>-C11*-1%</f>
        <v>0.15433198437414533</v>
      </c>
      <c r="D14" s="4" t="str">
        <f ca="1">_xlfn.FORMULATEXT(C14)</f>
        <v>=-C11*-1%</v>
      </c>
    </row>
    <row r="15" spans="2:8">
      <c r="B15" s="217" t="s">
        <v>171</v>
      </c>
      <c r="C15" s="231">
        <f>C10*(1+C14)</f>
        <v>100.23064620320703</v>
      </c>
      <c r="D15" s="4" t="str">
        <f t="shared" ref="D15:D17" ca="1" si="0">_xlfn.FORMULATEXT(C15)</f>
        <v>=C10*(1+C14)</v>
      </c>
    </row>
    <row r="16" spans="2:8">
      <c r="B16" s="218" t="s">
        <v>172</v>
      </c>
      <c r="C16" s="219">
        <f>C14+1/2*C9*-1%^2</f>
        <v>0.15449548437414534</v>
      </c>
      <c r="D16" s="4" t="str">
        <f t="shared" ca="1" si="0"/>
        <v>=C14+1/2*C9*-1%^2</v>
      </c>
    </row>
    <row r="17" spans="2:4">
      <c r="B17" s="218" t="s">
        <v>171</v>
      </c>
      <c r="C17" s="232">
        <f>C10*(1+C16)</f>
        <v>100.24484290820703</v>
      </c>
      <c r="D17" s="4" t="str">
        <f t="shared" ca="1" si="0"/>
        <v>=C10*(1+C16)</v>
      </c>
    </row>
    <row r="18" spans="2:4">
      <c r="B18" s="220"/>
    </row>
  </sheetData>
  <pageMargins left="0.25" right="0.25" top="0.75" bottom="0.75" header="0.3" footer="0.3"/>
  <pageSetup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E44C-7717-0C4B-B7A0-E2FC3BA01B9F}">
  <dimension ref="A1:I191"/>
  <sheetViews>
    <sheetView topLeftCell="A167" workbookViewId="0">
      <selection activeCell="F190" sqref="F190"/>
    </sheetView>
  </sheetViews>
  <sheetFormatPr baseColWidth="10" defaultColWidth="8.5" defaultRowHeight="16"/>
  <cols>
    <col min="1" max="1" width="28" customWidth="1"/>
    <col min="2" max="2" width="24" customWidth="1"/>
    <col min="3" max="3" width="26" customWidth="1"/>
    <col min="4" max="4" width="13" customWidth="1"/>
    <col min="5" max="6" width="11" customWidth="1"/>
    <col min="7" max="9" width="13" customWidth="1"/>
  </cols>
  <sheetData>
    <row r="1" spans="1:9" ht="27.75" customHeight="1" thickBot="1">
      <c r="A1" s="304" t="s">
        <v>510</v>
      </c>
      <c r="B1" s="305"/>
      <c r="C1" s="305"/>
      <c r="D1" s="305"/>
      <c r="E1" s="305"/>
      <c r="F1" s="305"/>
      <c r="G1" s="305"/>
      <c r="H1" s="305"/>
      <c r="I1" s="306"/>
    </row>
    <row r="2" spans="1:9" ht="18" customHeight="1">
      <c r="A2" s="307" t="s">
        <v>511</v>
      </c>
      <c r="B2" s="308"/>
      <c r="C2" s="308"/>
      <c r="D2" s="308"/>
      <c r="E2" s="308"/>
      <c r="F2" s="308"/>
      <c r="G2" s="308"/>
      <c r="H2" s="308"/>
      <c r="I2" s="308"/>
    </row>
    <row r="4" spans="1:9" ht="21.75" customHeight="1" thickBot="1">
      <c r="A4" s="384" t="s">
        <v>654</v>
      </c>
      <c r="B4" s="385"/>
      <c r="C4" s="385"/>
      <c r="D4" s="385"/>
      <c r="E4" s="385"/>
      <c r="F4" s="385"/>
    </row>
    <row r="5" spans="1:9" ht="15" customHeight="1" thickBot="1">
      <c r="A5" s="312" t="s">
        <v>512</v>
      </c>
      <c r="B5" s="312" t="s">
        <v>225</v>
      </c>
      <c r="C5" s="312" t="s">
        <v>513</v>
      </c>
      <c r="D5" s="378" t="s">
        <v>514</v>
      </c>
      <c r="E5" s="379"/>
      <c r="F5" s="379"/>
    </row>
    <row r="6" spans="1:9" ht="27.75" customHeight="1">
      <c r="A6" s="313" t="s">
        <v>515</v>
      </c>
      <c r="B6" s="315" t="s">
        <v>516</v>
      </c>
      <c r="C6" s="314" t="s">
        <v>412</v>
      </c>
      <c r="D6" s="380" t="s">
        <v>517</v>
      </c>
      <c r="E6" s="381"/>
      <c r="F6" s="381"/>
    </row>
    <row r="7" spans="1:9" ht="27.75" customHeight="1">
      <c r="A7" s="316" t="s">
        <v>518</v>
      </c>
      <c r="B7" s="318" t="s">
        <v>519</v>
      </c>
      <c r="C7" s="317" t="s">
        <v>520</v>
      </c>
      <c r="D7" s="382" t="s">
        <v>521</v>
      </c>
      <c r="E7" s="383"/>
      <c r="F7" s="383"/>
    </row>
    <row r="8" spans="1:9" ht="27.75" customHeight="1">
      <c r="A8" s="313" t="s">
        <v>522</v>
      </c>
      <c r="B8" s="320" t="s">
        <v>386</v>
      </c>
      <c r="C8" s="314" t="s">
        <v>523</v>
      </c>
      <c r="D8" s="380" t="s">
        <v>524</v>
      </c>
      <c r="E8" s="381"/>
      <c r="F8" s="381"/>
    </row>
    <row r="9" spans="1:9" ht="27.75" customHeight="1">
      <c r="A9" s="316" t="s">
        <v>525</v>
      </c>
      <c r="B9" s="319" t="s">
        <v>526</v>
      </c>
      <c r="C9" s="317" t="s">
        <v>527</v>
      </c>
      <c r="D9" s="382" t="s">
        <v>528</v>
      </c>
      <c r="E9" s="383"/>
      <c r="F9" s="383"/>
    </row>
    <row r="10" spans="1:9" ht="27.75" customHeight="1">
      <c r="A10" s="313" t="s">
        <v>529</v>
      </c>
      <c r="B10" s="320" t="s">
        <v>530</v>
      </c>
      <c r="C10" s="314" t="s">
        <v>527</v>
      </c>
      <c r="D10" s="380" t="s">
        <v>531</v>
      </c>
      <c r="E10" s="381"/>
      <c r="F10" s="381"/>
    </row>
    <row r="11" spans="1:9" ht="27.75" customHeight="1">
      <c r="A11" s="316" t="s">
        <v>532</v>
      </c>
      <c r="B11" s="319" t="s">
        <v>533</v>
      </c>
      <c r="C11" s="317" t="s">
        <v>534</v>
      </c>
      <c r="D11" s="382" t="s">
        <v>535</v>
      </c>
      <c r="E11" s="383"/>
      <c r="F11" s="383"/>
    </row>
    <row r="12" spans="1:9" ht="27.75" customHeight="1">
      <c r="A12" s="313" t="s">
        <v>536</v>
      </c>
      <c r="B12" s="320" t="s">
        <v>537</v>
      </c>
      <c r="C12" s="314" t="s">
        <v>538</v>
      </c>
      <c r="D12" s="380" t="s">
        <v>539</v>
      </c>
      <c r="E12" s="381"/>
      <c r="F12" s="381"/>
    </row>
    <row r="13" spans="1:9" ht="27.75" customHeight="1">
      <c r="A13" s="316" t="s">
        <v>540</v>
      </c>
      <c r="B13" s="319" t="s">
        <v>541</v>
      </c>
      <c r="C13" s="317" t="s">
        <v>542</v>
      </c>
      <c r="D13" s="382" t="s">
        <v>543</v>
      </c>
      <c r="E13" s="383"/>
      <c r="F13" s="383"/>
    </row>
    <row r="14" spans="1:9" ht="27.75" customHeight="1">
      <c r="A14" s="313" t="s">
        <v>544</v>
      </c>
      <c r="B14" s="320" t="s">
        <v>545</v>
      </c>
      <c r="C14" s="314" t="s">
        <v>546</v>
      </c>
      <c r="D14" s="380" t="s">
        <v>547</v>
      </c>
      <c r="E14" s="381"/>
      <c r="F14" s="381"/>
    </row>
    <row r="15" spans="1:9" ht="27.75" customHeight="1">
      <c r="A15" s="316" t="s">
        <v>548</v>
      </c>
      <c r="B15" s="318" t="s">
        <v>549</v>
      </c>
      <c r="C15" s="317" t="s">
        <v>550</v>
      </c>
      <c r="D15" s="382" t="s">
        <v>551</v>
      </c>
      <c r="E15" s="383"/>
      <c r="F15" s="383"/>
    </row>
    <row r="16" spans="1:9" ht="27.75" customHeight="1">
      <c r="A16" s="313" t="s">
        <v>552</v>
      </c>
      <c r="B16" s="320" t="s">
        <v>553</v>
      </c>
      <c r="C16" s="314" t="s">
        <v>442</v>
      </c>
      <c r="D16" s="380" t="s">
        <v>554</v>
      </c>
      <c r="E16" s="381"/>
      <c r="F16" s="381"/>
    </row>
    <row r="17" spans="1:9" ht="27.75" customHeight="1">
      <c r="A17" s="316" t="s">
        <v>448</v>
      </c>
      <c r="B17" s="318" t="s">
        <v>555</v>
      </c>
      <c r="C17" s="317" t="s">
        <v>442</v>
      </c>
      <c r="D17" s="382" t="s">
        <v>556</v>
      </c>
      <c r="E17" s="383"/>
      <c r="F17" s="383"/>
    </row>
    <row r="18" spans="1:9" ht="27.75" customHeight="1">
      <c r="A18" s="313" t="s">
        <v>451</v>
      </c>
      <c r="B18" s="315" t="s">
        <v>557</v>
      </c>
      <c r="C18" s="314" t="s">
        <v>442</v>
      </c>
      <c r="D18" s="380" t="s">
        <v>558</v>
      </c>
      <c r="E18" s="381"/>
      <c r="F18" s="381"/>
    </row>
    <row r="19" spans="1:9" ht="27.75" customHeight="1">
      <c r="A19" s="316" t="s">
        <v>559</v>
      </c>
      <c r="B19" s="318" t="s">
        <v>560</v>
      </c>
      <c r="C19" s="317" t="s">
        <v>442</v>
      </c>
      <c r="D19" s="382" t="s">
        <v>561</v>
      </c>
      <c r="E19" s="383"/>
      <c r="F19" s="383"/>
    </row>
    <row r="20" spans="1:9" ht="27.75" customHeight="1">
      <c r="A20" s="313" t="s">
        <v>562</v>
      </c>
      <c r="B20" s="320" t="s">
        <v>563</v>
      </c>
      <c r="C20" s="314" t="s">
        <v>442</v>
      </c>
      <c r="D20" s="380" t="s">
        <v>564</v>
      </c>
      <c r="E20" s="381"/>
      <c r="F20" s="381"/>
    </row>
    <row r="21" spans="1:9" ht="7.5" customHeight="1"/>
    <row r="22" spans="1:9" ht="18" customHeight="1">
      <c r="A22" s="307" t="s">
        <v>565</v>
      </c>
      <c r="B22" s="308"/>
      <c r="C22" s="308"/>
      <c r="D22" s="308"/>
    </row>
    <row r="23" spans="1:9" ht="18" customHeight="1" thickBot="1"/>
    <row r="24" spans="1:9" ht="21.75" customHeight="1" thickBot="1">
      <c r="A24" s="309" t="s">
        <v>566</v>
      </c>
      <c r="B24" s="310"/>
      <c r="C24" s="310"/>
      <c r="D24" s="310"/>
      <c r="E24" s="310"/>
      <c r="F24" s="310"/>
      <c r="G24" s="310"/>
      <c r="H24" s="310"/>
      <c r="I24" s="311"/>
    </row>
    <row r="25" spans="1:9" ht="18" customHeight="1" thickBot="1">
      <c r="A25" s="355" t="s">
        <v>371</v>
      </c>
      <c r="B25" s="356" t="s">
        <v>225</v>
      </c>
      <c r="C25" s="356" t="s">
        <v>372</v>
      </c>
      <c r="D25" s="356" t="s">
        <v>373</v>
      </c>
    </row>
    <row r="26" spans="1:9" ht="18" customHeight="1" thickBot="1">
      <c r="A26" s="357" t="s">
        <v>374</v>
      </c>
      <c r="B26" s="358" t="s">
        <v>375</v>
      </c>
      <c r="C26" s="358" t="s">
        <v>376</v>
      </c>
      <c r="D26" s="358" t="s">
        <v>567</v>
      </c>
    </row>
    <row r="27" spans="1:9" ht="18" customHeight="1" thickBot="1">
      <c r="A27" s="359" t="s">
        <v>162</v>
      </c>
      <c r="B27" s="360" t="s">
        <v>568</v>
      </c>
      <c r="C27" s="360" t="s">
        <v>379</v>
      </c>
      <c r="D27" s="360" t="s">
        <v>380</v>
      </c>
    </row>
    <row r="28" spans="1:9" ht="18" customHeight="1" thickBot="1">
      <c r="A28" s="357" t="s">
        <v>569</v>
      </c>
      <c r="B28" s="358" t="s">
        <v>570</v>
      </c>
      <c r="C28" s="358" t="s">
        <v>571</v>
      </c>
      <c r="D28" s="358" t="s">
        <v>572</v>
      </c>
    </row>
    <row r="29" spans="1:9" ht="18" customHeight="1" thickBot="1">
      <c r="A29" s="359" t="s">
        <v>573</v>
      </c>
      <c r="B29" s="361">
        <v>4.9500000000000002E-2</v>
      </c>
      <c r="C29" s="360" t="s">
        <v>574</v>
      </c>
      <c r="D29" s="360" t="s">
        <v>575</v>
      </c>
    </row>
    <row r="30" spans="1:9" ht="18" customHeight="1" thickBot="1">
      <c r="A30" s="357" t="s">
        <v>389</v>
      </c>
      <c r="B30" s="358" t="s">
        <v>576</v>
      </c>
      <c r="C30" s="358" t="s">
        <v>577</v>
      </c>
      <c r="D30" s="358" t="s">
        <v>578</v>
      </c>
    </row>
    <row r="31" spans="1:9" ht="18" customHeight="1" thickBot="1">
      <c r="A31" s="359" t="s">
        <v>168</v>
      </c>
      <c r="B31" s="360" t="s">
        <v>393</v>
      </c>
      <c r="C31" s="360" t="s">
        <v>579</v>
      </c>
      <c r="D31" s="360" t="s">
        <v>580</v>
      </c>
    </row>
    <row r="32" spans="1:9" ht="18" customHeight="1" thickBot="1">
      <c r="A32" s="357" t="s">
        <v>581</v>
      </c>
      <c r="B32" s="358">
        <v>3.27</v>
      </c>
      <c r="C32" s="358" t="s">
        <v>582</v>
      </c>
      <c r="D32" s="358" t="s">
        <v>583</v>
      </c>
    </row>
    <row r="33" spans="1:9" ht="18" customHeight="1" thickBot="1">
      <c r="A33" s="359" t="s">
        <v>584</v>
      </c>
      <c r="B33" s="360" t="s">
        <v>585</v>
      </c>
      <c r="C33" s="360" t="s">
        <v>586</v>
      </c>
      <c r="D33" s="360" t="s">
        <v>587</v>
      </c>
    </row>
    <row r="34" spans="1:9" ht="57" thickBot="1">
      <c r="A34" s="357" t="s">
        <v>588</v>
      </c>
      <c r="B34" s="358" t="s">
        <v>589</v>
      </c>
      <c r="C34" s="358" t="s">
        <v>590</v>
      </c>
      <c r="D34" s="358" t="s">
        <v>591</v>
      </c>
    </row>
    <row r="35" spans="1:9" ht="21.75" customHeight="1" thickBot="1">
      <c r="A35" s="309" t="s">
        <v>592</v>
      </c>
      <c r="B35" s="310"/>
      <c r="C35" s="310"/>
      <c r="D35" s="310"/>
      <c r="E35" s="310"/>
      <c r="F35" s="310"/>
      <c r="G35" s="310"/>
      <c r="H35" s="310"/>
      <c r="I35" s="311"/>
    </row>
    <row r="36" spans="1:9" ht="15" customHeight="1" thickBot="1">
      <c r="A36" s="312" t="s">
        <v>232</v>
      </c>
      <c r="B36" s="312" t="s">
        <v>233</v>
      </c>
      <c r="C36" s="312" t="s">
        <v>593</v>
      </c>
      <c r="D36" s="312" t="s">
        <v>217</v>
      </c>
      <c r="E36" s="312" t="s">
        <v>308</v>
      </c>
      <c r="F36" s="312" t="s">
        <v>1</v>
      </c>
      <c r="G36" s="312" t="s">
        <v>594</v>
      </c>
      <c r="H36" s="312" t="s">
        <v>595</v>
      </c>
      <c r="I36" s="312" t="s">
        <v>596</v>
      </c>
    </row>
    <row r="37" spans="1:9" ht="21.75" customHeight="1">
      <c r="A37" s="313" t="s">
        <v>216</v>
      </c>
      <c r="B37" s="314" t="s">
        <v>597</v>
      </c>
      <c r="C37" s="314" t="s">
        <v>245</v>
      </c>
      <c r="D37" s="315" t="s">
        <v>313</v>
      </c>
      <c r="E37" s="315" t="s">
        <v>315</v>
      </c>
      <c r="F37" s="315" t="s">
        <v>241</v>
      </c>
      <c r="G37" s="315" t="s">
        <v>598</v>
      </c>
      <c r="H37" s="315" t="s">
        <v>599</v>
      </c>
      <c r="I37" s="315" t="s">
        <v>314</v>
      </c>
    </row>
    <row r="38" spans="1:9" ht="21.75" customHeight="1">
      <c r="A38" s="362" t="s">
        <v>200</v>
      </c>
      <c r="B38" s="363" t="s">
        <v>600</v>
      </c>
      <c r="C38" s="363" t="s">
        <v>601</v>
      </c>
      <c r="D38" s="364" t="s">
        <v>339</v>
      </c>
      <c r="E38" s="364" t="s">
        <v>341</v>
      </c>
      <c r="F38" s="364" t="s">
        <v>271</v>
      </c>
      <c r="G38" s="365" t="s">
        <v>602</v>
      </c>
      <c r="H38" s="364" t="s">
        <v>603</v>
      </c>
      <c r="I38" s="365" t="s">
        <v>277</v>
      </c>
    </row>
    <row r="39" spans="1:9" ht="21.75" customHeight="1">
      <c r="A39" s="321" t="s">
        <v>221</v>
      </c>
      <c r="B39" s="322" t="s">
        <v>294</v>
      </c>
      <c r="C39" s="322" t="s">
        <v>604</v>
      </c>
      <c r="D39" s="323" t="s">
        <v>360</v>
      </c>
      <c r="E39" s="323" t="s">
        <v>362</v>
      </c>
      <c r="F39" s="323" t="s">
        <v>295</v>
      </c>
      <c r="G39" s="324" t="s">
        <v>605</v>
      </c>
      <c r="H39" s="323" t="s">
        <v>606</v>
      </c>
      <c r="I39" s="324" t="s">
        <v>301</v>
      </c>
    </row>
    <row r="40" spans="1:9" ht="21.75" customHeight="1">
      <c r="A40" s="316" t="s">
        <v>218</v>
      </c>
      <c r="B40" s="317" t="s">
        <v>607</v>
      </c>
      <c r="C40" s="317" t="s">
        <v>608</v>
      </c>
      <c r="D40" s="318" t="s">
        <v>346</v>
      </c>
      <c r="E40" s="318" t="s">
        <v>348</v>
      </c>
      <c r="F40" s="318" t="s">
        <v>279</v>
      </c>
      <c r="G40" s="319" t="s">
        <v>609</v>
      </c>
      <c r="H40" s="318" t="s">
        <v>610</v>
      </c>
      <c r="I40" s="319" t="s">
        <v>285</v>
      </c>
    </row>
    <row r="41" spans="1:9" ht="21.75" customHeight="1">
      <c r="A41" s="313" t="s">
        <v>209</v>
      </c>
      <c r="B41" s="314" t="s">
        <v>254</v>
      </c>
      <c r="C41" s="314" t="s">
        <v>611</v>
      </c>
      <c r="D41" s="315" t="s">
        <v>325</v>
      </c>
      <c r="E41" s="315" t="s">
        <v>327</v>
      </c>
      <c r="F41" s="315" t="s">
        <v>255</v>
      </c>
      <c r="G41" s="320" t="s">
        <v>612</v>
      </c>
      <c r="H41" s="315" t="s">
        <v>613</v>
      </c>
      <c r="I41" s="320" t="s">
        <v>261</v>
      </c>
    </row>
    <row r="42" spans="1:9" ht="21.75" customHeight="1">
      <c r="A42" s="316" t="s">
        <v>198</v>
      </c>
      <c r="B42" s="317" t="s">
        <v>246</v>
      </c>
      <c r="C42" s="317" t="s">
        <v>614</v>
      </c>
      <c r="D42" s="318" t="s">
        <v>318</v>
      </c>
      <c r="E42" s="318" t="s">
        <v>320</v>
      </c>
      <c r="F42" s="318" t="s">
        <v>247</v>
      </c>
      <c r="G42" s="319" t="s">
        <v>615</v>
      </c>
      <c r="H42" s="318" t="s">
        <v>616</v>
      </c>
      <c r="I42" s="319" t="s">
        <v>253</v>
      </c>
    </row>
    <row r="43" spans="1:9" ht="21.75" customHeight="1">
      <c r="A43" s="313" t="s">
        <v>220</v>
      </c>
      <c r="B43" s="314" t="s">
        <v>286</v>
      </c>
      <c r="C43" s="314" t="s">
        <v>617</v>
      </c>
      <c r="D43" s="315" t="s">
        <v>353</v>
      </c>
      <c r="E43" s="315" t="s">
        <v>355</v>
      </c>
      <c r="F43" s="315" t="s">
        <v>287</v>
      </c>
      <c r="G43" s="320" t="s">
        <v>618</v>
      </c>
      <c r="H43" s="315" t="s">
        <v>619</v>
      </c>
      <c r="I43" s="320" t="s">
        <v>293</v>
      </c>
    </row>
    <row r="44" spans="1:9" ht="21.75" customHeight="1">
      <c r="A44" s="316" t="s">
        <v>205</v>
      </c>
      <c r="B44" s="317" t="s">
        <v>262</v>
      </c>
      <c r="C44" s="317" t="s">
        <v>620</v>
      </c>
      <c r="D44" s="318" t="s">
        <v>332</v>
      </c>
      <c r="E44" s="318" t="s">
        <v>334</v>
      </c>
      <c r="F44" s="318" t="s">
        <v>263</v>
      </c>
      <c r="G44" s="319" t="s">
        <v>621</v>
      </c>
      <c r="H44" s="318" t="s">
        <v>622</v>
      </c>
      <c r="I44" s="319" t="s">
        <v>269</v>
      </c>
    </row>
    <row r="45" spans="1:9" ht="7.5" customHeight="1"/>
    <row r="46" spans="1:9" ht="18" customHeight="1" thickBot="1">
      <c r="A46" s="307" t="s">
        <v>623</v>
      </c>
      <c r="B46" s="308"/>
      <c r="C46" s="308"/>
      <c r="D46" s="308"/>
      <c r="E46" s="308"/>
      <c r="F46" s="308"/>
      <c r="G46" s="308"/>
      <c r="H46" s="308"/>
      <c r="I46" s="308"/>
    </row>
    <row r="47" spans="1:9" ht="21.75" customHeight="1" thickBot="1">
      <c r="A47" s="309" t="s">
        <v>624</v>
      </c>
      <c r="B47" s="310"/>
      <c r="C47" s="310"/>
      <c r="D47" s="310"/>
      <c r="E47" s="310"/>
      <c r="F47" s="310"/>
      <c r="G47" s="310"/>
      <c r="H47" s="310"/>
      <c r="I47" s="311"/>
    </row>
    <row r="66" spans="1:8" ht="17" thickBot="1"/>
    <row r="67" spans="1:8" ht="21.75" customHeight="1" thickBot="1">
      <c r="A67" s="309" t="s">
        <v>625</v>
      </c>
      <c r="B67" s="310"/>
      <c r="C67" s="310"/>
      <c r="D67" s="310"/>
      <c r="E67" s="310"/>
      <c r="F67" s="310"/>
      <c r="G67" s="310"/>
      <c r="H67" s="311"/>
    </row>
    <row r="68" spans="1:8" ht="15" customHeight="1">
      <c r="A68" s="329" t="s">
        <v>232</v>
      </c>
      <c r="B68" s="329" t="s">
        <v>626</v>
      </c>
    </row>
    <row r="69" spans="1:8" ht="15" customHeight="1">
      <c r="A69" s="330" t="s">
        <v>200</v>
      </c>
      <c r="B69" s="331">
        <v>23.39</v>
      </c>
    </row>
    <row r="70" spans="1:8" ht="15" customHeight="1">
      <c r="A70" s="330" t="s">
        <v>221</v>
      </c>
      <c r="B70" s="331">
        <v>21.08</v>
      </c>
    </row>
    <row r="71" spans="1:8" ht="15" customHeight="1">
      <c r="A71" s="330" t="s">
        <v>218</v>
      </c>
      <c r="B71" s="331">
        <v>17.75</v>
      </c>
    </row>
    <row r="72" spans="1:8" ht="15" customHeight="1">
      <c r="A72" s="330" t="s">
        <v>209</v>
      </c>
      <c r="B72" s="331">
        <v>14.57</v>
      </c>
    </row>
    <row r="73" spans="1:8" ht="15" customHeight="1">
      <c r="A73" s="330" t="s">
        <v>198</v>
      </c>
      <c r="B73" s="331">
        <v>13.99</v>
      </c>
    </row>
    <row r="74" spans="1:8" ht="15" customHeight="1">
      <c r="A74" s="330" t="s">
        <v>220</v>
      </c>
      <c r="B74" s="331">
        <v>7.33</v>
      </c>
    </row>
    <row r="75" spans="1:8" ht="15" customHeight="1">
      <c r="A75" s="330" t="s">
        <v>205</v>
      </c>
      <c r="B75" s="331">
        <v>1.89</v>
      </c>
    </row>
    <row r="93" spans="1:9" ht="17" thickBot="1"/>
    <row r="94" spans="1:9" ht="21.75" customHeight="1" thickBot="1">
      <c r="A94" s="309" t="s">
        <v>627</v>
      </c>
      <c r="B94" s="310"/>
      <c r="C94" s="310"/>
      <c r="D94" s="310"/>
      <c r="E94" s="310"/>
      <c r="F94" s="310"/>
      <c r="G94" s="310"/>
      <c r="H94" s="310"/>
      <c r="I94" s="311"/>
    </row>
    <row r="116" spans="1:9" ht="17" thickBot="1"/>
    <row r="117" spans="1:9" ht="21.75" customHeight="1" thickBot="1">
      <c r="A117" s="309" t="s">
        <v>628</v>
      </c>
      <c r="B117" s="310"/>
      <c r="C117" s="310"/>
      <c r="D117" s="310"/>
      <c r="E117" s="310"/>
      <c r="F117" s="310"/>
      <c r="G117" s="310"/>
      <c r="H117" s="310"/>
      <c r="I117" s="311"/>
    </row>
    <row r="136" spans="1:9" ht="17" thickBot="1"/>
    <row r="137" spans="1:9" ht="21.75" customHeight="1" thickBot="1">
      <c r="A137" s="309" t="s">
        <v>629</v>
      </c>
      <c r="B137" s="310"/>
      <c r="C137" s="310"/>
      <c r="D137" s="310"/>
      <c r="E137" s="310"/>
      <c r="F137" s="310"/>
      <c r="G137" s="310"/>
      <c r="H137" s="310"/>
      <c r="I137" s="311"/>
    </row>
    <row r="149" spans="1:9" ht="17" thickBot="1"/>
    <row r="150" spans="1:9" ht="21.75" customHeight="1" thickBot="1">
      <c r="A150" s="309" t="s">
        <v>630</v>
      </c>
      <c r="B150" s="310"/>
      <c r="C150" s="310"/>
      <c r="D150" s="310"/>
      <c r="E150" s="310"/>
      <c r="F150" s="310"/>
      <c r="G150" s="310"/>
      <c r="H150" s="310"/>
      <c r="I150" s="311"/>
    </row>
    <row r="166" spans="1:9" ht="17" thickBot="1"/>
    <row r="167" spans="1:9" ht="21.75" customHeight="1" thickBot="1">
      <c r="A167" s="309" t="s">
        <v>631</v>
      </c>
      <c r="B167" s="310"/>
      <c r="C167" s="310"/>
      <c r="D167" s="310"/>
      <c r="E167" s="310"/>
      <c r="F167" s="310"/>
      <c r="G167" s="310"/>
      <c r="H167" s="310"/>
      <c r="I167" s="311"/>
    </row>
    <row r="168" spans="1:9" ht="17" thickBot="1">
      <c r="A168" s="355" t="s">
        <v>632</v>
      </c>
      <c r="B168" s="356" t="s">
        <v>633</v>
      </c>
      <c r="C168" s="356" t="s">
        <v>634</v>
      </c>
      <c r="D168" s="356" t="s">
        <v>635</v>
      </c>
      <c r="E168" s="356" t="s">
        <v>200</v>
      </c>
      <c r="F168" s="356" t="s">
        <v>221</v>
      </c>
      <c r="G168" s="356" t="s">
        <v>218</v>
      </c>
    </row>
    <row r="169" spans="1:9" ht="17" thickBot="1">
      <c r="A169" s="357" t="s">
        <v>636</v>
      </c>
      <c r="B169" s="366" t="s">
        <v>57</v>
      </c>
      <c r="C169" s="367">
        <v>4.3499999999999997E-2</v>
      </c>
      <c r="D169" s="367">
        <v>0.29480000000000001</v>
      </c>
      <c r="E169" s="367">
        <v>0.1449</v>
      </c>
      <c r="F169" s="367">
        <v>0.33529999999999999</v>
      </c>
      <c r="G169" s="367">
        <v>0.28499999999999998</v>
      </c>
    </row>
    <row r="170" spans="1:9" ht="17" thickBot="1">
      <c r="A170" s="359" t="s">
        <v>636</v>
      </c>
      <c r="B170" s="368" t="s">
        <v>24</v>
      </c>
      <c r="C170" s="361">
        <v>0.1497</v>
      </c>
      <c r="D170" s="361">
        <v>0.22120000000000001</v>
      </c>
      <c r="E170" s="361">
        <v>0.30690000000000001</v>
      </c>
      <c r="F170" s="361">
        <v>0.30959999999999999</v>
      </c>
      <c r="G170" s="361">
        <v>0.30020000000000002</v>
      </c>
    </row>
    <row r="171" spans="1:9" ht="17" thickBot="1">
      <c r="A171" s="357" t="s">
        <v>636</v>
      </c>
      <c r="B171" s="366" t="s">
        <v>25</v>
      </c>
      <c r="C171" s="358">
        <v>0.29099999999999998</v>
      </c>
      <c r="D171" s="358">
        <v>1.109</v>
      </c>
      <c r="E171" s="358">
        <v>0.47199999999999998</v>
      </c>
      <c r="F171" s="358">
        <v>1.083</v>
      </c>
      <c r="G171" s="358">
        <v>0.94899999999999995</v>
      </c>
    </row>
    <row r="172" spans="1:9" ht="17" thickBot="1">
      <c r="A172" s="359" t="s">
        <v>636</v>
      </c>
      <c r="B172" s="368" t="s">
        <v>637</v>
      </c>
      <c r="C172" s="360">
        <v>1</v>
      </c>
      <c r="D172" s="360">
        <v>1.274</v>
      </c>
      <c r="E172" s="360">
        <v>1.216</v>
      </c>
      <c r="F172" s="360">
        <v>1.0640000000000001</v>
      </c>
      <c r="G172" s="360">
        <v>1.3</v>
      </c>
    </row>
    <row r="173" spans="1:9" ht="17" thickBot="1">
      <c r="A173" s="357" t="s">
        <v>636</v>
      </c>
      <c r="B173" s="366" t="s">
        <v>559</v>
      </c>
      <c r="C173" s="358">
        <v>5.6000000000000001E-2</v>
      </c>
      <c r="D173" s="358">
        <v>0.193</v>
      </c>
      <c r="E173" s="358">
        <v>7.5999999999999998E-2</v>
      </c>
      <c r="F173" s="358">
        <v>0.26800000000000002</v>
      </c>
      <c r="G173" s="358">
        <v>0.18099999999999999</v>
      </c>
    </row>
    <row r="174" spans="1:9" ht="17" thickBot="1">
      <c r="A174" s="359" t="s">
        <v>636</v>
      </c>
      <c r="B174" s="368" t="s">
        <v>638</v>
      </c>
      <c r="C174" s="361">
        <v>0</v>
      </c>
      <c r="D174" s="369">
        <v>0.17369999999999999</v>
      </c>
      <c r="E174" s="360" t="s">
        <v>314</v>
      </c>
      <c r="F174" s="360" t="s">
        <v>314</v>
      </c>
      <c r="G174" s="360" t="s">
        <v>314</v>
      </c>
    </row>
    <row r="175" spans="1:9" ht="17" thickBot="1">
      <c r="A175" s="357" t="s">
        <v>636</v>
      </c>
      <c r="B175" s="366" t="s">
        <v>448</v>
      </c>
      <c r="C175" s="358">
        <v>0</v>
      </c>
      <c r="D175" s="358">
        <v>0.85499999999999998</v>
      </c>
      <c r="E175" s="358" t="s">
        <v>314</v>
      </c>
      <c r="F175" s="358" t="s">
        <v>314</v>
      </c>
      <c r="G175" s="358" t="s">
        <v>314</v>
      </c>
    </row>
    <row r="176" spans="1:9" ht="17" thickBot="1">
      <c r="A176" s="359" t="s">
        <v>639</v>
      </c>
      <c r="B176" s="368" t="s">
        <v>640</v>
      </c>
      <c r="C176" s="360" t="s">
        <v>314</v>
      </c>
      <c r="D176" s="370">
        <v>1</v>
      </c>
      <c r="E176" s="361">
        <v>0.23400000000000001</v>
      </c>
      <c r="F176" s="361">
        <v>0.21099999999999999</v>
      </c>
      <c r="G176" s="361">
        <v>0.17799999999999999</v>
      </c>
    </row>
    <row r="177" spans="1:9" ht="17" thickBot="1">
      <c r="A177" s="357" t="s">
        <v>641</v>
      </c>
      <c r="B177" s="366" t="s">
        <v>642</v>
      </c>
      <c r="C177" s="358" t="s">
        <v>314</v>
      </c>
      <c r="D177" s="358">
        <v>13.808</v>
      </c>
      <c r="E177" s="358" t="s">
        <v>314</v>
      </c>
      <c r="F177" s="358" t="s">
        <v>314</v>
      </c>
      <c r="G177" s="358" t="s">
        <v>314</v>
      </c>
    </row>
    <row r="178" spans="1:9" ht="17" thickBot="1">
      <c r="A178" s="359" t="s">
        <v>641</v>
      </c>
      <c r="B178" s="368" t="s">
        <v>643</v>
      </c>
      <c r="C178" s="360" t="s">
        <v>314</v>
      </c>
      <c r="D178" s="360">
        <v>2.5070000000000001</v>
      </c>
      <c r="E178" s="360" t="s">
        <v>314</v>
      </c>
      <c r="F178" s="360" t="s">
        <v>314</v>
      </c>
      <c r="G178" s="360" t="s">
        <v>314</v>
      </c>
    </row>
    <row r="179" spans="1:9" ht="17" thickBot="1">
      <c r="A179" s="357" t="s">
        <v>641</v>
      </c>
      <c r="B179" s="366" t="s">
        <v>644</v>
      </c>
      <c r="C179" s="358" t="s">
        <v>314</v>
      </c>
      <c r="D179" s="358">
        <v>5.5069999999999997</v>
      </c>
      <c r="E179" s="358" t="s">
        <v>314</v>
      </c>
      <c r="F179" s="358" t="s">
        <v>314</v>
      </c>
      <c r="G179" s="358" t="s">
        <v>314</v>
      </c>
    </row>
    <row r="180" spans="1:9" ht="17" thickBot="1"/>
    <row r="181" spans="1:9" ht="21.75" customHeight="1" thickBot="1">
      <c r="A181" s="309" t="s">
        <v>645</v>
      </c>
      <c r="B181" s="310"/>
      <c r="C181" s="310"/>
      <c r="D181" s="310"/>
      <c r="E181" s="310"/>
      <c r="F181" s="310"/>
      <c r="G181" s="310"/>
      <c r="H181" s="310"/>
      <c r="I181" s="311"/>
    </row>
    <row r="182" spans="1:9" ht="17" thickBot="1">
      <c r="A182" s="355" t="s">
        <v>232</v>
      </c>
      <c r="B182" s="356" t="s">
        <v>233</v>
      </c>
      <c r="C182" s="356" t="s">
        <v>646</v>
      </c>
      <c r="D182" s="356" t="s">
        <v>647</v>
      </c>
      <c r="E182" s="356" t="s">
        <v>648</v>
      </c>
      <c r="F182" s="356" t="s">
        <v>649</v>
      </c>
    </row>
    <row r="183" spans="1:9" ht="17" thickBot="1">
      <c r="A183" s="357" t="s">
        <v>198</v>
      </c>
      <c r="B183" s="358" t="s">
        <v>246</v>
      </c>
      <c r="C183" s="367">
        <v>0.1328</v>
      </c>
      <c r="D183" s="371">
        <v>8.3000000000000001E-3</v>
      </c>
      <c r="E183" s="372" t="s">
        <v>650</v>
      </c>
      <c r="F183" s="358" t="s">
        <v>651</v>
      </c>
    </row>
    <row r="184" spans="1:9" ht="29" thickBot="1">
      <c r="A184" s="373" t="s">
        <v>209</v>
      </c>
      <c r="B184" s="374" t="s">
        <v>254</v>
      </c>
      <c r="C184" s="375">
        <v>8.5800000000000001E-2</v>
      </c>
      <c r="D184" s="376">
        <v>0.12790000000000001</v>
      </c>
      <c r="E184" s="377" t="s">
        <v>652</v>
      </c>
      <c r="F184" s="374" t="s">
        <v>653</v>
      </c>
    </row>
    <row r="185" spans="1:9" ht="29" thickBot="1">
      <c r="A185" s="373" t="s">
        <v>205</v>
      </c>
      <c r="B185" s="374" t="s">
        <v>262</v>
      </c>
      <c r="C185" s="375">
        <v>2.6100000000000002E-2</v>
      </c>
      <c r="D185" s="376">
        <v>0.69730000000000003</v>
      </c>
      <c r="E185" s="377" t="s">
        <v>652</v>
      </c>
      <c r="F185" s="374" t="s">
        <v>653</v>
      </c>
    </row>
    <row r="186" spans="1:9" ht="29" thickBot="1">
      <c r="A186" s="373" t="s">
        <v>200</v>
      </c>
      <c r="B186" s="374" t="s">
        <v>270</v>
      </c>
      <c r="C186" s="375">
        <v>9.0999999999999998E-2</v>
      </c>
      <c r="D186" s="376">
        <v>0.36349999999999999</v>
      </c>
      <c r="E186" s="377" t="s">
        <v>652</v>
      </c>
      <c r="F186" s="374" t="s">
        <v>653</v>
      </c>
    </row>
    <row r="187" spans="1:9" ht="17" thickBot="1">
      <c r="A187" s="357" t="s">
        <v>218</v>
      </c>
      <c r="B187" s="358" t="s">
        <v>278</v>
      </c>
      <c r="C187" s="367">
        <v>0.128</v>
      </c>
      <c r="D187" s="371">
        <v>3.27E-2</v>
      </c>
      <c r="E187" s="372" t="s">
        <v>650</v>
      </c>
      <c r="F187" s="358" t="s">
        <v>651</v>
      </c>
    </row>
    <row r="188" spans="1:9" ht="29" thickBot="1">
      <c r="A188" s="373" t="s">
        <v>220</v>
      </c>
      <c r="B188" s="374" t="s">
        <v>286</v>
      </c>
      <c r="C188" s="375">
        <v>0.13730000000000001</v>
      </c>
      <c r="D188" s="376">
        <v>0.14480000000000001</v>
      </c>
      <c r="E188" s="377" t="s">
        <v>652</v>
      </c>
      <c r="F188" s="374" t="s">
        <v>653</v>
      </c>
    </row>
    <row r="189" spans="1:9" ht="17" thickBot="1">
      <c r="A189" s="357" t="s">
        <v>221</v>
      </c>
      <c r="B189" s="358" t="s">
        <v>294</v>
      </c>
      <c r="C189" s="367">
        <v>0.41760000000000003</v>
      </c>
      <c r="D189" s="371">
        <v>2.0500000000000001E-2</v>
      </c>
      <c r="E189" s="372" t="s">
        <v>650</v>
      </c>
      <c r="F189" s="358" t="s">
        <v>651</v>
      </c>
    </row>
    <row r="190" spans="1:9" ht="17" thickBot="1"/>
    <row r="191" spans="1:9" ht="17" thickBot="1">
      <c r="A191" s="309" t="s">
        <v>655</v>
      </c>
      <c r="B191" s="310"/>
      <c r="C191" s="310"/>
      <c r="D191" s="310"/>
      <c r="E191" s="310"/>
      <c r="F191" s="310"/>
      <c r="G191" s="310"/>
      <c r="H191" s="310"/>
      <c r="I191" s="311"/>
    </row>
  </sheetData>
  <mergeCells count="32">
    <mergeCell ref="A4:F4"/>
    <mergeCell ref="D11:F11"/>
    <mergeCell ref="D10:F10"/>
    <mergeCell ref="D9:F9"/>
    <mergeCell ref="D8:F8"/>
    <mergeCell ref="D7:F7"/>
    <mergeCell ref="D6:F6"/>
    <mergeCell ref="A150:I150"/>
    <mergeCell ref="A167:I167"/>
    <mergeCell ref="A181:I181"/>
    <mergeCell ref="A191:I191"/>
    <mergeCell ref="D5:F5"/>
    <mergeCell ref="D20:F20"/>
    <mergeCell ref="D19:F19"/>
    <mergeCell ref="D18:F18"/>
    <mergeCell ref="D17:F17"/>
    <mergeCell ref="D16:F16"/>
    <mergeCell ref="A46:I46"/>
    <mergeCell ref="A47:I47"/>
    <mergeCell ref="A67:H67"/>
    <mergeCell ref="A94:I94"/>
    <mergeCell ref="A117:I117"/>
    <mergeCell ref="A137:I137"/>
    <mergeCell ref="A1:I1"/>
    <mergeCell ref="A2:I2"/>
    <mergeCell ref="A22:D22"/>
    <mergeCell ref="A24:I24"/>
    <mergeCell ref="A35:I35"/>
    <mergeCell ref="D15:F15"/>
    <mergeCell ref="D14:F14"/>
    <mergeCell ref="D13:F13"/>
    <mergeCell ref="D12:F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D10E-08E1-6E43-B7C6-85B282EC5427}">
  <dimension ref="A1:I45"/>
  <sheetViews>
    <sheetView topLeftCell="A39" workbookViewId="0">
      <selection activeCell="I72" sqref="I72"/>
    </sheetView>
  </sheetViews>
  <sheetFormatPr baseColWidth="10" defaultColWidth="8.5" defaultRowHeight="16"/>
  <cols>
    <col min="1" max="1" width="12" customWidth="1"/>
    <col min="2" max="2" width="26" customWidth="1"/>
    <col min="3" max="5" width="12" customWidth="1"/>
    <col min="6" max="7" width="11" customWidth="1"/>
    <col min="8" max="9" width="12" customWidth="1"/>
  </cols>
  <sheetData>
    <row r="1" spans="1:9" ht="27.75" customHeight="1" thickBot="1">
      <c r="A1" s="304" t="s">
        <v>229</v>
      </c>
      <c r="B1" s="305"/>
      <c r="C1" s="305"/>
      <c r="D1" s="305"/>
      <c r="E1" s="305"/>
      <c r="F1" s="305"/>
      <c r="G1" s="305"/>
      <c r="H1" s="305"/>
      <c r="I1" s="306"/>
    </row>
    <row r="2" spans="1:9" ht="18" customHeight="1">
      <c r="A2" s="307" t="s">
        <v>230</v>
      </c>
      <c r="B2" s="308"/>
      <c r="C2" s="308"/>
      <c r="D2" s="308"/>
      <c r="E2" s="308"/>
      <c r="F2" s="308"/>
      <c r="G2" s="308"/>
      <c r="H2" s="308"/>
      <c r="I2" s="308"/>
    </row>
    <row r="4" spans="1:9" ht="21.75" customHeight="1" thickBot="1">
      <c r="A4" s="309" t="s">
        <v>231</v>
      </c>
      <c r="B4" s="310"/>
      <c r="C4" s="310"/>
      <c r="D4" s="310"/>
      <c r="E4" s="310"/>
      <c r="F4" s="310"/>
      <c r="G4" s="310"/>
      <c r="H4" s="310"/>
      <c r="I4" s="311"/>
    </row>
    <row r="5" spans="1:9" ht="15" customHeight="1" thickBot="1">
      <c r="A5" s="312" t="s">
        <v>232</v>
      </c>
      <c r="B5" s="312" t="s">
        <v>233</v>
      </c>
      <c r="C5" s="312" t="s">
        <v>1</v>
      </c>
      <c r="D5" s="312" t="s">
        <v>234</v>
      </c>
      <c r="E5" s="312" t="s">
        <v>235</v>
      </c>
      <c r="F5" s="312" t="s">
        <v>236</v>
      </c>
      <c r="G5" s="312" t="s">
        <v>237</v>
      </c>
      <c r="H5" s="312" t="s">
        <v>238</v>
      </c>
      <c r="I5" s="312" t="s">
        <v>239</v>
      </c>
    </row>
    <row r="6" spans="1:9" ht="21.75" customHeight="1">
      <c r="A6" s="313" t="s">
        <v>216</v>
      </c>
      <c r="B6" s="314" t="s">
        <v>240</v>
      </c>
      <c r="C6" s="315" t="s">
        <v>241</v>
      </c>
      <c r="D6" s="315" t="s">
        <v>242</v>
      </c>
      <c r="E6" s="315" t="s">
        <v>242</v>
      </c>
      <c r="F6" s="315" t="s">
        <v>243</v>
      </c>
      <c r="G6" s="315" t="s">
        <v>244</v>
      </c>
      <c r="H6" s="315" t="s">
        <v>241</v>
      </c>
      <c r="I6" s="315" t="s">
        <v>245</v>
      </c>
    </row>
    <row r="7" spans="1:9" ht="21.75" customHeight="1">
      <c r="A7" s="316" t="s">
        <v>198</v>
      </c>
      <c r="B7" s="317" t="s">
        <v>246</v>
      </c>
      <c r="C7" s="318" t="s">
        <v>247</v>
      </c>
      <c r="D7" s="318" t="s">
        <v>248</v>
      </c>
      <c r="E7" s="318" t="s">
        <v>249</v>
      </c>
      <c r="F7" s="318" t="s">
        <v>250</v>
      </c>
      <c r="G7" s="318" t="s">
        <v>251</v>
      </c>
      <c r="H7" s="318" t="s">
        <v>252</v>
      </c>
      <c r="I7" s="319" t="s">
        <v>253</v>
      </c>
    </row>
    <row r="8" spans="1:9" ht="21.75" customHeight="1">
      <c r="A8" s="313" t="s">
        <v>209</v>
      </c>
      <c r="B8" s="314" t="s">
        <v>254</v>
      </c>
      <c r="C8" s="315" t="s">
        <v>255</v>
      </c>
      <c r="D8" s="315" t="s">
        <v>256</v>
      </c>
      <c r="E8" s="315" t="s">
        <v>257</v>
      </c>
      <c r="F8" s="315" t="s">
        <v>258</v>
      </c>
      <c r="G8" s="315" t="s">
        <v>259</v>
      </c>
      <c r="H8" s="315" t="s">
        <v>260</v>
      </c>
      <c r="I8" s="320" t="s">
        <v>261</v>
      </c>
    </row>
    <row r="9" spans="1:9" ht="21.75" customHeight="1">
      <c r="A9" s="316" t="s">
        <v>205</v>
      </c>
      <c r="B9" s="317" t="s">
        <v>262</v>
      </c>
      <c r="C9" s="318" t="s">
        <v>263</v>
      </c>
      <c r="D9" s="318" t="s">
        <v>264</v>
      </c>
      <c r="E9" s="318" t="s">
        <v>265</v>
      </c>
      <c r="F9" s="318" t="s">
        <v>266</v>
      </c>
      <c r="G9" s="318" t="s">
        <v>267</v>
      </c>
      <c r="H9" s="318" t="s">
        <v>268</v>
      </c>
      <c r="I9" s="319" t="s">
        <v>269</v>
      </c>
    </row>
    <row r="10" spans="1:9" ht="21.75" customHeight="1">
      <c r="A10" s="313" t="s">
        <v>200</v>
      </c>
      <c r="B10" s="314" t="s">
        <v>270</v>
      </c>
      <c r="C10" s="315" t="s">
        <v>271</v>
      </c>
      <c r="D10" s="315" t="s">
        <v>272</v>
      </c>
      <c r="E10" s="315" t="s">
        <v>273</v>
      </c>
      <c r="F10" s="315" t="s">
        <v>274</v>
      </c>
      <c r="G10" s="315" t="s">
        <v>275</v>
      </c>
      <c r="H10" s="315" t="s">
        <v>276</v>
      </c>
      <c r="I10" s="320" t="s">
        <v>277</v>
      </c>
    </row>
    <row r="11" spans="1:9" ht="21.75" customHeight="1">
      <c r="A11" s="316" t="s">
        <v>218</v>
      </c>
      <c r="B11" s="317" t="s">
        <v>278</v>
      </c>
      <c r="C11" s="318" t="s">
        <v>279</v>
      </c>
      <c r="D11" s="318" t="s">
        <v>280</v>
      </c>
      <c r="E11" s="318" t="s">
        <v>281</v>
      </c>
      <c r="F11" s="318" t="s">
        <v>282</v>
      </c>
      <c r="G11" s="318" t="s">
        <v>283</v>
      </c>
      <c r="H11" s="318" t="s">
        <v>284</v>
      </c>
      <c r="I11" s="319" t="s">
        <v>285</v>
      </c>
    </row>
    <row r="12" spans="1:9" ht="21.75" customHeight="1">
      <c r="A12" s="313" t="s">
        <v>220</v>
      </c>
      <c r="B12" s="314" t="s">
        <v>286</v>
      </c>
      <c r="C12" s="315" t="s">
        <v>287</v>
      </c>
      <c r="D12" s="315" t="s">
        <v>288</v>
      </c>
      <c r="E12" s="315" t="s">
        <v>289</v>
      </c>
      <c r="F12" s="315" t="s">
        <v>290</v>
      </c>
      <c r="G12" s="315" t="s">
        <v>291</v>
      </c>
      <c r="H12" s="315" t="s">
        <v>292</v>
      </c>
      <c r="I12" s="320" t="s">
        <v>293</v>
      </c>
    </row>
    <row r="13" spans="1:9" ht="21.75" customHeight="1">
      <c r="A13" s="321" t="s">
        <v>221</v>
      </c>
      <c r="B13" s="322" t="s">
        <v>294</v>
      </c>
      <c r="C13" s="323" t="s">
        <v>295</v>
      </c>
      <c r="D13" s="323" t="s">
        <v>296</v>
      </c>
      <c r="E13" s="323" t="s">
        <v>297</v>
      </c>
      <c r="F13" s="323" t="s">
        <v>298</v>
      </c>
      <c r="G13" s="323" t="s">
        <v>299</v>
      </c>
      <c r="H13" s="323" t="s">
        <v>300</v>
      </c>
      <c r="I13" s="324" t="s">
        <v>301</v>
      </c>
    </row>
    <row r="14" spans="1:9" ht="7.5" customHeight="1"/>
    <row r="15" spans="1:9" ht="18" customHeight="1">
      <c r="A15" s="307" t="s">
        <v>302</v>
      </c>
      <c r="B15" s="308"/>
      <c r="C15" s="308"/>
      <c r="D15" s="308"/>
      <c r="E15" s="308"/>
      <c r="F15" s="308"/>
      <c r="G15" s="308"/>
      <c r="H15" s="308"/>
      <c r="I15" s="308"/>
    </row>
    <row r="17" spans="1:9" ht="7.5" customHeight="1"/>
    <row r="19" spans="1:9" ht="21.75" customHeight="1" thickBot="1">
      <c r="A19" s="309" t="s">
        <v>303</v>
      </c>
      <c r="B19" s="310"/>
      <c r="C19" s="310"/>
      <c r="D19" s="310"/>
      <c r="E19" s="310"/>
      <c r="F19" s="310"/>
      <c r="G19" s="310"/>
      <c r="H19" s="310"/>
      <c r="I19" s="311"/>
    </row>
    <row r="45" spans="1:9" ht="21.75" customHeight="1" thickBot="1">
      <c r="A45" s="309" t="s">
        <v>304</v>
      </c>
      <c r="B45" s="310"/>
      <c r="C45" s="310"/>
      <c r="D45" s="310"/>
      <c r="E45" s="310"/>
      <c r="F45" s="310"/>
      <c r="G45" s="310"/>
      <c r="H45" s="310"/>
      <c r="I45" s="311"/>
    </row>
  </sheetData>
  <mergeCells count="6">
    <mergeCell ref="A1:I1"/>
    <mergeCell ref="A2:I2"/>
    <mergeCell ref="A4:I4"/>
    <mergeCell ref="A15:I15"/>
    <mergeCell ref="A19:I19"/>
    <mergeCell ref="A45:I4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0B22-684A-D54D-8972-BB3C2879742A}">
  <dimension ref="A1:I51"/>
  <sheetViews>
    <sheetView topLeftCell="A45" workbookViewId="0">
      <selection activeCell="N19" sqref="N19"/>
    </sheetView>
  </sheetViews>
  <sheetFormatPr baseColWidth="10" defaultColWidth="8.5" defaultRowHeight="16"/>
  <cols>
    <col min="1" max="1" width="12" customWidth="1"/>
    <col min="2" max="2" width="24" customWidth="1"/>
    <col min="3" max="3" width="13" customWidth="1"/>
    <col min="4" max="7" width="12" customWidth="1"/>
    <col min="8" max="8" width="14" customWidth="1"/>
    <col min="9" max="9" width="16" customWidth="1"/>
  </cols>
  <sheetData>
    <row r="1" spans="1:9" ht="27.75" customHeight="1" thickBot="1">
      <c r="A1" s="304" t="s">
        <v>305</v>
      </c>
      <c r="B1" s="305"/>
      <c r="C1" s="305"/>
      <c r="D1" s="305"/>
      <c r="E1" s="305"/>
      <c r="F1" s="305"/>
      <c r="G1" s="305"/>
      <c r="H1" s="305"/>
      <c r="I1" s="306"/>
    </row>
    <row r="2" spans="1:9" ht="18" customHeight="1">
      <c r="A2" s="307" t="s">
        <v>306</v>
      </c>
      <c r="B2" s="308"/>
      <c r="C2" s="308"/>
      <c r="D2" s="308"/>
      <c r="E2" s="308"/>
      <c r="F2" s="308"/>
      <c r="G2" s="308"/>
      <c r="H2" s="308"/>
      <c r="I2" s="308"/>
    </row>
    <row r="4" spans="1:9" ht="21.75" customHeight="1" thickBot="1">
      <c r="A4" s="309" t="s">
        <v>307</v>
      </c>
      <c r="B4" s="310"/>
      <c r="C4" s="310"/>
      <c r="D4" s="310"/>
      <c r="E4" s="310"/>
      <c r="F4" s="310"/>
      <c r="G4" s="310"/>
      <c r="H4" s="310"/>
      <c r="I4" s="311"/>
    </row>
    <row r="5" spans="1:9" ht="15" customHeight="1" thickBot="1">
      <c r="A5" s="312" t="s">
        <v>232</v>
      </c>
      <c r="B5" s="312" t="s">
        <v>233</v>
      </c>
      <c r="C5" s="312" t="s">
        <v>217</v>
      </c>
      <c r="D5" s="312" t="s">
        <v>42</v>
      </c>
      <c r="E5" s="312" t="s">
        <v>308</v>
      </c>
      <c r="F5" s="312" t="s">
        <v>309</v>
      </c>
      <c r="G5" s="312" t="s">
        <v>310</v>
      </c>
      <c r="H5" s="312" t="s">
        <v>311</v>
      </c>
      <c r="I5" s="312" t="s">
        <v>312</v>
      </c>
    </row>
    <row r="6" spans="1:9" ht="21.75" customHeight="1">
      <c r="A6" s="313" t="s">
        <v>216</v>
      </c>
      <c r="B6" s="314" t="s">
        <v>240</v>
      </c>
      <c r="C6" s="315" t="s">
        <v>313</v>
      </c>
      <c r="D6" s="315" t="s">
        <v>314</v>
      </c>
      <c r="E6" s="315" t="s">
        <v>315</v>
      </c>
      <c r="F6" s="315" t="s">
        <v>316</v>
      </c>
      <c r="G6" s="315" t="s">
        <v>314</v>
      </c>
      <c r="H6" s="315" t="s">
        <v>314</v>
      </c>
      <c r="I6" s="315" t="s">
        <v>317</v>
      </c>
    </row>
    <row r="7" spans="1:9" ht="21.75" customHeight="1">
      <c r="A7" s="316" t="s">
        <v>198</v>
      </c>
      <c r="B7" s="317" t="s">
        <v>246</v>
      </c>
      <c r="C7" s="318" t="s">
        <v>318</v>
      </c>
      <c r="D7" s="318" t="s">
        <v>319</v>
      </c>
      <c r="E7" s="318" t="s">
        <v>320</v>
      </c>
      <c r="F7" s="318" t="s">
        <v>321</v>
      </c>
      <c r="G7" s="318" t="s">
        <v>322</v>
      </c>
      <c r="H7" s="318" t="s">
        <v>323</v>
      </c>
      <c r="I7" s="318" t="s">
        <v>324</v>
      </c>
    </row>
    <row r="8" spans="1:9" ht="21.75" customHeight="1">
      <c r="A8" s="313" t="s">
        <v>209</v>
      </c>
      <c r="B8" s="314" t="s">
        <v>254</v>
      </c>
      <c r="C8" s="315" t="s">
        <v>325</v>
      </c>
      <c r="D8" s="315" t="s">
        <v>326</v>
      </c>
      <c r="E8" s="315" t="s">
        <v>327</v>
      </c>
      <c r="F8" s="315" t="s">
        <v>328</v>
      </c>
      <c r="G8" s="315" t="s">
        <v>329</v>
      </c>
      <c r="H8" s="315" t="s">
        <v>330</v>
      </c>
      <c r="I8" s="315" t="s">
        <v>331</v>
      </c>
    </row>
    <row r="9" spans="1:9" ht="21.75" customHeight="1">
      <c r="A9" s="316" t="s">
        <v>205</v>
      </c>
      <c r="B9" s="317" t="s">
        <v>262</v>
      </c>
      <c r="C9" s="318" t="s">
        <v>332</v>
      </c>
      <c r="D9" s="318" t="s">
        <v>333</v>
      </c>
      <c r="E9" s="318" t="s">
        <v>334</v>
      </c>
      <c r="F9" s="318" t="s">
        <v>335</v>
      </c>
      <c r="G9" s="318" t="s">
        <v>336</v>
      </c>
      <c r="H9" s="318" t="s">
        <v>337</v>
      </c>
      <c r="I9" s="318" t="s">
        <v>338</v>
      </c>
    </row>
    <row r="10" spans="1:9" ht="21.75" customHeight="1">
      <c r="A10" s="313" t="s">
        <v>200</v>
      </c>
      <c r="B10" s="314" t="s">
        <v>270</v>
      </c>
      <c r="C10" s="315" t="s">
        <v>339</v>
      </c>
      <c r="D10" s="315" t="s">
        <v>340</v>
      </c>
      <c r="E10" s="315" t="s">
        <v>341</v>
      </c>
      <c r="F10" s="315" t="s">
        <v>342</v>
      </c>
      <c r="G10" s="315" t="s">
        <v>343</v>
      </c>
      <c r="H10" s="315" t="s">
        <v>344</v>
      </c>
      <c r="I10" s="315" t="s">
        <v>345</v>
      </c>
    </row>
    <row r="11" spans="1:9" ht="21.75" customHeight="1">
      <c r="A11" s="316" t="s">
        <v>218</v>
      </c>
      <c r="B11" s="317" t="s">
        <v>278</v>
      </c>
      <c r="C11" s="318" t="s">
        <v>346</v>
      </c>
      <c r="D11" s="318" t="s">
        <v>347</v>
      </c>
      <c r="E11" s="318" t="s">
        <v>348</v>
      </c>
      <c r="F11" s="318" t="s">
        <v>349</v>
      </c>
      <c r="G11" s="318" t="s">
        <v>350</v>
      </c>
      <c r="H11" s="319" t="s">
        <v>351</v>
      </c>
      <c r="I11" s="318" t="s">
        <v>352</v>
      </c>
    </row>
    <row r="12" spans="1:9" ht="21.75" customHeight="1">
      <c r="A12" s="325" t="s">
        <v>220</v>
      </c>
      <c r="B12" s="326" t="s">
        <v>286</v>
      </c>
      <c r="C12" s="327" t="s">
        <v>353</v>
      </c>
      <c r="D12" s="327" t="s">
        <v>354</v>
      </c>
      <c r="E12" s="327" t="s">
        <v>355</v>
      </c>
      <c r="F12" s="327" t="s">
        <v>356</v>
      </c>
      <c r="G12" s="327" t="s">
        <v>357</v>
      </c>
      <c r="H12" s="328" t="s">
        <v>358</v>
      </c>
      <c r="I12" s="327" t="s">
        <v>359</v>
      </c>
    </row>
    <row r="13" spans="1:9" ht="21.75" customHeight="1">
      <c r="A13" s="321" t="s">
        <v>221</v>
      </c>
      <c r="B13" s="322" t="s">
        <v>294</v>
      </c>
      <c r="C13" s="323" t="s">
        <v>360</v>
      </c>
      <c r="D13" s="323" t="s">
        <v>361</v>
      </c>
      <c r="E13" s="323" t="s">
        <v>362</v>
      </c>
      <c r="F13" s="323" t="s">
        <v>363</v>
      </c>
      <c r="G13" s="323" t="s">
        <v>364</v>
      </c>
      <c r="H13" s="324" t="s">
        <v>365</v>
      </c>
      <c r="I13" s="323" t="s">
        <v>366</v>
      </c>
    </row>
    <row r="14" spans="1:9" ht="7.5" customHeight="1"/>
    <row r="15" spans="1:9" ht="18" customHeight="1">
      <c r="A15" s="307" t="s">
        <v>367</v>
      </c>
      <c r="B15" s="308"/>
      <c r="C15" s="308"/>
      <c r="D15" s="308"/>
      <c r="E15" s="308"/>
      <c r="F15" s="308"/>
      <c r="G15" s="308"/>
      <c r="H15" s="308"/>
      <c r="I15" s="308"/>
    </row>
    <row r="17" spans="1:8" ht="21.75" customHeight="1" thickBot="1">
      <c r="A17" s="309" t="s">
        <v>368</v>
      </c>
      <c r="B17" s="310"/>
      <c r="C17" s="310"/>
      <c r="D17" s="310"/>
      <c r="E17" s="310"/>
      <c r="F17" s="310"/>
      <c r="G17" s="310"/>
      <c r="H17" s="311"/>
    </row>
    <row r="18" spans="1:8" ht="15" customHeight="1">
      <c r="A18" s="329" t="s">
        <v>232</v>
      </c>
      <c r="B18" s="329" t="s">
        <v>369</v>
      </c>
    </row>
    <row r="19" spans="1:8" ht="15" customHeight="1">
      <c r="A19" s="330" t="s">
        <v>198</v>
      </c>
      <c r="B19" s="331">
        <v>1.36</v>
      </c>
    </row>
    <row r="20" spans="1:8" ht="15" customHeight="1">
      <c r="A20" s="330" t="s">
        <v>209</v>
      </c>
      <c r="B20" s="331">
        <v>2.44</v>
      </c>
    </row>
    <row r="21" spans="1:8" ht="15" customHeight="1">
      <c r="A21" s="330" t="s">
        <v>205</v>
      </c>
      <c r="B21" s="331">
        <v>4.04</v>
      </c>
    </row>
    <row r="22" spans="1:8" ht="15" customHeight="1">
      <c r="A22" s="330" t="s">
        <v>200</v>
      </c>
      <c r="B22" s="331">
        <v>4.75</v>
      </c>
    </row>
    <row r="23" spans="1:8" ht="15" customHeight="1">
      <c r="A23" s="330" t="s">
        <v>218</v>
      </c>
      <c r="B23" s="331">
        <v>12.89</v>
      </c>
    </row>
    <row r="24" spans="1:8" ht="15" customHeight="1">
      <c r="A24" s="330" t="s">
        <v>220</v>
      </c>
      <c r="B24" s="331">
        <v>-15.46</v>
      </c>
    </row>
    <row r="25" spans="1:8" ht="15" customHeight="1">
      <c r="A25" s="330" t="s">
        <v>221</v>
      </c>
      <c r="B25" s="331">
        <v>20.76</v>
      </c>
    </row>
    <row r="40" spans="1:4" ht="21.75" customHeight="1" thickBot="1">
      <c r="A40" s="309" t="s">
        <v>370</v>
      </c>
      <c r="B40" s="310"/>
      <c r="C40" s="310"/>
      <c r="D40" s="311"/>
    </row>
    <row r="41" spans="1:4" ht="15" customHeight="1" thickBot="1">
      <c r="A41" s="312" t="s">
        <v>371</v>
      </c>
      <c r="B41" s="312" t="s">
        <v>225</v>
      </c>
      <c r="C41" s="312" t="s">
        <v>372</v>
      </c>
      <c r="D41" s="312" t="s">
        <v>373</v>
      </c>
    </row>
    <row r="42" spans="1:4" ht="27.75" customHeight="1">
      <c r="A42" s="332" t="s">
        <v>374</v>
      </c>
      <c r="B42" s="333" t="s">
        <v>375</v>
      </c>
      <c r="C42" s="333" t="s">
        <v>376</v>
      </c>
      <c r="D42" s="333" t="s">
        <v>377</v>
      </c>
    </row>
    <row r="43" spans="1:4" ht="27.75" customHeight="1">
      <c r="A43" s="334" t="s">
        <v>162</v>
      </c>
      <c r="B43" s="335" t="s">
        <v>378</v>
      </c>
      <c r="C43" s="335" t="s">
        <v>379</v>
      </c>
      <c r="D43" s="335" t="s">
        <v>380</v>
      </c>
    </row>
    <row r="44" spans="1:4" ht="27.75" customHeight="1">
      <c r="A44" s="332" t="s">
        <v>381</v>
      </c>
      <c r="B44" s="333" t="s">
        <v>382</v>
      </c>
      <c r="C44" s="333" t="s">
        <v>383</v>
      </c>
      <c r="D44" s="333" t="s">
        <v>384</v>
      </c>
    </row>
    <row r="45" spans="1:4" ht="27.75" customHeight="1">
      <c r="A45" s="334" t="s">
        <v>385</v>
      </c>
      <c r="B45" s="335" t="s">
        <v>386</v>
      </c>
      <c r="C45" s="335" t="s">
        <v>387</v>
      </c>
      <c r="D45" s="335" t="s">
        <v>388</v>
      </c>
    </row>
    <row r="46" spans="1:4" ht="27.75" customHeight="1">
      <c r="A46" s="332" t="s">
        <v>389</v>
      </c>
      <c r="B46" s="333" t="s">
        <v>390</v>
      </c>
      <c r="C46" s="333" t="s">
        <v>391</v>
      </c>
      <c r="D46" s="333" t="s">
        <v>392</v>
      </c>
    </row>
    <row r="47" spans="1:4" ht="27.75" customHeight="1">
      <c r="A47" s="334" t="s">
        <v>168</v>
      </c>
      <c r="B47" s="335" t="s">
        <v>393</v>
      </c>
      <c r="C47" s="335" t="s">
        <v>394</v>
      </c>
      <c r="D47" s="335" t="s">
        <v>395</v>
      </c>
    </row>
    <row r="48" spans="1:4" ht="27.75" customHeight="1">
      <c r="A48" s="336" t="s">
        <v>396</v>
      </c>
      <c r="B48" s="337" t="s">
        <v>397</v>
      </c>
      <c r="C48" s="337" t="s">
        <v>398</v>
      </c>
      <c r="D48" s="337" t="s">
        <v>399</v>
      </c>
    </row>
    <row r="49" spans="1:4" ht="27.75" customHeight="1">
      <c r="A49" s="336" t="s">
        <v>400</v>
      </c>
      <c r="B49" s="337" t="s">
        <v>401</v>
      </c>
      <c r="C49" s="337" t="s">
        <v>402</v>
      </c>
      <c r="D49" s="337" t="s">
        <v>403</v>
      </c>
    </row>
    <row r="50" spans="1:4" ht="27.75" customHeight="1">
      <c r="A50" s="336" t="s">
        <v>404</v>
      </c>
      <c r="B50" s="337" t="s">
        <v>405</v>
      </c>
      <c r="C50" s="337" t="s">
        <v>406</v>
      </c>
      <c r="D50" s="337" t="s">
        <v>407</v>
      </c>
    </row>
    <row r="51" spans="1:4" ht="7.5" customHeight="1"/>
  </sheetData>
  <mergeCells count="6">
    <mergeCell ref="A1:I1"/>
    <mergeCell ref="A2:I2"/>
    <mergeCell ref="A4:I4"/>
    <mergeCell ref="A15:I15"/>
    <mergeCell ref="A17:H17"/>
    <mergeCell ref="A40:D4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E0C-9D83-AD42-9577-01C32B1AA871}">
  <dimension ref="A1:E39"/>
  <sheetViews>
    <sheetView workbookViewId="0">
      <selection activeCell="I19" sqref="I19"/>
    </sheetView>
  </sheetViews>
  <sheetFormatPr baseColWidth="10" defaultColWidth="8.5" defaultRowHeight="16"/>
  <cols>
    <col min="1" max="1" width="30" customWidth="1"/>
    <col min="2" max="3" width="22" customWidth="1"/>
    <col min="4" max="4" width="18" customWidth="1"/>
    <col min="5" max="5" width="38" customWidth="1"/>
  </cols>
  <sheetData>
    <row r="1" spans="1:5" ht="30" customHeight="1" thickBot="1">
      <c r="A1" s="338" t="s">
        <v>408</v>
      </c>
      <c r="B1" s="338"/>
      <c r="C1" s="338"/>
      <c r="D1" s="338"/>
      <c r="E1" s="338"/>
    </row>
    <row r="2" spans="1:5" ht="18" customHeight="1">
      <c r="A2" s="339" t="s">
        <v>409</v>
      </c>
      <c r="B2" s="339"/>
      <c r="C2" s="339"/>
      <c r="D2" s="339"/>
      <c r="E2" s="339"/>
    </row>
    <row r="4" spans="1:5" ht="21.75" customHeight="1" thickBot="1">
      <c r="A4" s="340" t="s">
        <v>410</v>
      </c>
      <c r="B4" s="340"/>
      <c r="C4" s="340"/>
      <c r="D4" s="340"/>
      <c r="E4" s="340"/>
    </row>
    <row r="5" spans="1:5" ht="17" thickBot="1">
      <c r="A5" s="341" t="s">
        <v>411</v>
      </c>
      <c r="B5" s="341" t="s">
        <v>412</v>
      </c>
      <c r="C5" s="341" t="s">
        <v>413</v>
      </c>
      <c r="D5" s="341" t="s">
        <v>414</v>
      </c>
      <c r="E5" s="342" t="s">
        <v>415</v>
      </c>
    </row>
    <row r="6" spans="1:5" ht="55.5" customHeight="1">
      <c r="A6" s="343" t="s">
        <v>416</v>
      </c>
      <c r="B6" s="344" t="s">
        <v>417</v>
      </c>
      <c r="C6" s="344" t="s">
        <v>418</v>
      </c>
      <c r="D6" s="344" t="s">
        <v>419</v>
      </c>
      <c r="E6" s="344" t="s">
        <v>420</v>
      </c>
    </row>
    <row r="7" spans="1:5" ht="55.5" customHeight="1">
      <c r="A7" s="345" t="s">
        <v>421</v>
      </c>
      <c r="B7" s="346" t="s">
        <v>422</v>
      </c>
      <c r="C7" s="346" t="s">
        <v>423</v>
      </c>
      <c r="D7" s="346" t="s">
        <v>424</v>
      </c>
      <c r="E7" s="346" t="s">
        <v>425</v>
      </c>
    </row>
    <row r="8" spans="1:5" ht="55.5" customHeight="1">
      <c r="A8" s="347" t="s">
        <v>426</v>
      </c>
      <c r="B8" s="348" t="s">
        <v>427</v>
      </c>
      <c r="C8" s="348" t="s">
        <v>428</v>
      </c>
      <c r="D8" s="348" t="s">
        <v>429</v>
      </c>
      <c r="E8" s="348" t="s">
        <v>430</v>
      </c>
    </row>
    <row r="9" spans="1:5" ht="7.5" customHeight="1"/>
    <row r="11" spans="1:5" ht="21.75" customHeight="1" thickBot="1">
      <c r="A11" s="340" t="s">
        <v>431</v>
      </c>
      <c r="B11" s="340"/>
      <c r="C11" s="340"/>
      <c r="D11" s="340"/>
      <c r="E11" s="340"/>
    </row>
    <row r="12" spans="1:5" ht="17" thickBot="1">
      <c r="A12" s="341" t="s">
        <v>432</v>
      </c>
      <c r="B12" s="341" t="s">
        <v>433</v>
      </c>
      <c r="C12" s="341" t="s">
        <v>434</v>
      </c>
      <c r="D12" s="341" t="s">
        <v>435</v>
      </c>
      <c r="E12" s="342" t="s">
        <v>436</v>
      </c>
    </row>
    <row r="13" spans="1:5" ht="31.5" customHeight="1">
      <c r="A13" s="343" t="s">
        <v>437</v>
      </c>
      <c r="B13" s="344" t="s">
        <v>438</v>
      </c>
      <c r="C13" s="344" t="s">
        <v>439</v>
      </c>
      <c r="D13" s="344" t="s">
        <v>440</v>
      </c>
      <c r="E13" s="344" t="s">
        <v>441</v>
      </c>
    </row>
    <row r="14" spans="1:5" ht="31.5" customHeight="1">
      <c r="A14" s="349" t="s">
        <v>25</v>
      </c>
      <c r="B14" s="350" t="s">
        <v>442</v>
      </c>
      <c r="C14" s="350" t="s">
        <v>443</v>
      </c>
      <c r="D14" s="350" t="s">
        <v>440</v>
      </c>
      <c r="E14" s="350" t="s">
        <v>444</v>
      </c>
    </row>
    <row r="15" spans="1:5" ht="31.5" customHeight="1">
      <c r="A15" s="343" t="s">
        <v>445</v>
      </c>
      <c r="B15" s="344" t="s">
        <v>442</v>
      </c>
      <c r="C15" s="344" t="s">
        <v>446</v>
      </c>
      <c r="D15" s="344" t="s">
        <v>440</v>
      </c>
      <c r="E15" s="344" t="s">
        <v>447</v>
      </c>
    </row>
    <row r="16" spans="1:5" ht="31.5" customHeight="1">
      <c r="A16" s="349" t="s">
        <v>448</v>
      </c>
      <c r="B16" s="350" t="s">
        <v>442</v>
      </c>
      <c r="C16" s="350" t="s">
        <v>449</v>
      </c>
      <c r="D16" s="350" t="s">
        <v>440</v>
      </c>
      <c r="E16" s="350" t="s">
        <v>450</v>
      </c>
    </row>
    <row r="17" spans="1:5" ht="31.5" customHeight="1">
      <c r="A17" s="343" t="s">
        <v>451</v>
      </c>
      <c r="B17" s="344" t="s">
        <v>452</v>
      </c>
      <c r="C17" s="344" t="s">
        <v>453</v>
      </c>
      <c r="D17" s="344" t="s">
        <v>454</v>
      </c>
      <c r="E17" s="344" t="s">
        <v>455</v>
      </c>
    </row>
    <row r="18" spans="1:5" ht="31.5" customHeight="1">
      <c r="A18" s="349" t="s">
        <v>456</v>
      </c>
      <c r="B18" s="350" t="s">
        <v>438</v>
      </c>
      <c r="C18" s="350" t="s">
        <v>457</v>
      </c>
      <c r="D18" s="350" t="s">
        <v>454</v>
      </c>
      <c r="E18" s="350" t="s">
        <v>458</v>
      </c>
    </row>
    <row r="19" spans="1:5" ht="31.5" customHeight="1">
      <c r="A19" s="343" t="s">
        <v>459</v>
      </c>
      <c r="B19" s="344" t="s">
        <v>460</v>
      </c>
      <c r="C19" s="344" t="s">
        <v>461</v>
      </c>
      <c r="D19" s="344" t="s">
        <v>462</v>
      </c>
      <c r="E19" s="344" t="s">
        <v>463</v>
      </c>
    </row>
    <row r="20" spans="1:5" ht="31.5" customHeight="1">
      <c r="A20" s="349" t="s">
        <v>464</v>
      </c>
      <c r="B20" s="350" t="s">
        <v>438</v>
      </c>
      <c r="C20" s="350" t="s">
        <v>465</v>
      </c>
      <c r="D20" s="350" t="s">
        <v>454</v>
      </c>
      <c r="E20" s="350" t="s">
        <v>466</v>
      </c>
    </row>
    <row r="21" spans="1:5" ht="31.5" customHeight="1">
      <c r="A21" s="343" t="s">
        <v>467</v>
      </c>
      <c r="B21" s="344" t="s">
        <v>442</v>
      </c>
      <c r="C21" s="344" t="s">
        <v>468</v>
      </c>
      <c r="D21" s="344" t="s">
        <v>462</v>
      </c>
      <c r="E21" s="344" t="s">
        <v>469</v>
      </c>
    </row>
    <row r="22" spans="1:5" ht="31.5" customHeight="1">
      <c r="A22" s="351" t="s">
        <v>470</v>
      </c>
      <c r="B22" s="352" t="s">
        <v>471</v>
      </c>
      <c r="C22" s="352" t="s">
        <v>472</v>
      </c>
      <c r="D22" s="352" t="s">
        <v>440</v>
      </c>
      <c r="E22" s="352" t="s">
        <v>473</v>
      </c>
    </row>
    <row r="23" spans="1:5" ht="31.5" customHeight="1">
      <c r="A23" s="353" t="s">
        <v>474</v>
      </c>
      <c r="B23" s="354" t="s">
        <v>471</v>
      </c>
      <c r="C23" s="354" t="s">
        <v>475</v>
      </c>
      <c r="D23" s="354" t="s">
        <v>454</v>
      </c>
      <c r="E23" s="354" t="s">
        <v>476</v>
      </c>
    </row>
    <row r="24" spans="1:5" ht="31.5" customHeight="1">
      <c r="A24" s="349" t="s">
        <v>477</v>
      </c>
      <c r="B24" s="350" t="s">
        <v>478</v>
      </c>
      <c r="C24" s="350" t="s">
        <v>479</v>
      </c>
      <c r="D24" s="350" t="s">
        <v>454</v>
      </c>
      <c r="E24" s="350" t="s">
        <v>480</v>
      </c>
    </row>
    <row r="25" spans="1:5" ht="7.5" customHeight="1"/>
    <row r="27" spans="1:5" ht="21.75" customHeight="1" thickBot="1">
      <c r="A27" s="340" t="s">
        <v>481</v>
      </c>
      <c r="B27" s="340"/>
      <c r="C27" s="340"/>
      <c r="D27" s="340"/>
    </row>
    <row r="28" spans="1:5" ht="17" thickBot="1">
      <c r="A28" s="341" t="s">
        <v>435</v>
      </c>
      <c r="B28" s="341" t="s">
        <v>482</v>
      </c>
      <c r="C28" s="341" t="s">
        <v>483</v>
      </c>
      <c r="D28" s="342" t="s">
        <v>484</v>
      </c>
    </row>
    <row r="29" spans="1:5" ht="27.75" customHeight="1">
      <c r="A29" s="343" t="s">
        <v>454</v>
      </c>
      <c r="B29" s="344" t="s">
        <v>485</v>
      </c>
      <c r="C29" s="344" t="s">
        <v>486</v>
      </c>
      <c r="D29" s="344" t="s">
        <v>487</v>
      </c>
    </row>
    <row r="30" spans="1:5" ht="27.75" customHeight="1">
      <c r="A30" s="349" t="s">
        <v>440</v>
      </c>
      <c r="B30" s="350" t="s">
        <v>488</v>
      </c>
      <c r="C30" s="350" t="s">
        <v>489</v>
      </c>
      <c r="D30" s="350" t="s">
        <v>490</v>
      </c>
    </row>
    <row r="31" spans="1:5" ht="27.75" customHeight="1">
      <c r="A31" s="343" t="s">
        <v>440</v>
      </c>
      <c r="B31" s="344" t="s">
        <v>491</v>
      </c>
      <c r="C31" s="344" t="s">
        <v>471</v>
      </c>
      <c r="D31" s="344" t="s">
        <v>492</v>
      </c>
    </row>
    <row r="32" spans="1:5" ht="27.75" customHeight="1">
      <c r="A32" s="349" t="s">
        <v>440</v>
      </c>
      <c r="B32" s="350" t="s">
        <v>493</v>
      </c>
      <c r="C32" s="350" t="s">
        <v>494</v>
      </c>
      <c r="D32" s="350" t="s">
        <v>495</v>
      </c>
    </row>
    <row r="33" spans="1:5" ht="27.75" customHeight="1">
      <c r="A33" s="343" t="s">
        <v>496</v>
      </c>
      <c r="B33" s="344" t="s">
        <v>497</v>
      </c>
      <c r="C33" s="344" t="s">
        <v>498</v>
      </c>
      <c r="D33" s="344" t="s">
        <v>499</v>
      </c>
    </row>
    <row r="34" spans="1:5" ht="27.75" customHeight="1">
      <c r="A34" s="351" t="s">
        <v>500</v>
      </c>
      <c r="B34" s="352" t="s">
        <v>501</v>
      </c>
      <c r="C34" s="352" t="s">
        <v>502</v>
      </c>
      <c r="D34" s="352" t="s">
        <v>503</v>
      </c>
    </row>
    <row r="35" spans="1:5" ht="27.75" customHeight="1">
      <c r="A35" s="351" t="s">
        <v>500</v>
      </c>
      <c r="B35" s="352" t="s">
        <v>504</v>
      </c>
      <c r="C35" s="352" t="s">
        <v>505</v>
      </c>
      <c r="D35" s="352" t="s">
        <v>506</v>
      </c>
    </row>
    <row r="36" spans="1:5" ht="27.75" customHeight="1">
      <c r="A36" s="351" t="s">
        <v>500</v>
      </c>
      <c r="B36" s="352" t="s">
        <v>507</v>
      </c>
      <c r="C36" s="352" t="s">
        <v>471</v>
      </c>
      <c r="D36" s="352" t="s">
        <v>508</v>
      </c>
    </row>
    <row r="37" spans="1:5" ht="7.5" customHeight="1"/>
    <row r="39" spans="1:5" ht="21.75" customHeight="1" thickBot="1">
      <c r="A39" s="340" t="s">
        <v>509</v>
      </c>
      <c r="B39" s="340"/>
      <c r="C39" s="340"/>
      <c r="D39" s="340"/>
      <c r="E39" s="340"/>
    </row>
  </sheetData>
  <mergeCells count="6">
    <mergeCell ref="A1:E1"/>
    <mergeCell ref="A2:E2"/>
    <mergeCell ref="A4:E4"/>
    <mergeCell ref="A11:E11"/>
    <mergeCell ref="A27:D27"/>
    <mergeCell ref="A39:E3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073C90-08D0-1349-941F-1B1E232AAD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Capital Allocation</vt:lpstr>
      <vt:lpstr>Asset Classes Allocation</vt:lpstr>
      <vt:lpstr>Security Allocation</vt:lpstr>
      <vt:lpstr>Data. Securities</vt:lpstr>
      <vt:lpstr>Data. Bond Duration &amp; Convexity</vt:lpstr>
      <vt:lpstr>Section 4</vt:lpstr>
      <vt:lpstr>Section 5</vt:lpstr>
      <vt:lpstr>Section 6</vt:lpstr>
      <vt:lpstr>Section 7</vt:lpstr>
      <vt:lpstr>'Asset Classes Allocation'!Print_Area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Ahn</dc:creator>
  <cp:lastModifiedBy>Alexandre LY</cp:lastModifiedBy>
  <dcterms:created xsi:type="dcterms:W3CDTF">2024-03-23T17:37:03Z</dcterms:created>
  <dcterms:modified xsi:type="dcterms:W3CDTF">2026-04-21T03:49:49Z</dcterms:modified>
</cp:coreProperties>
</file>