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4.xml" ContentType="application/vnd.openxmlformats-officedocument.drawing+xml"/>
  <Override PartName="/xl/tables/table1.xml" ContentType="application/vnd.openxmlformats-officedocument.spreadsheetml.table+xml"/>
  <Override PartName="/xl/comments4.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tables/table2.xml" ContentType="application/vnd.openxmlformats-officedocument.spreadsheetml.table+xml"/>
  <Override PartName="/xl/drawings/drawing10.xml" ContentType="application/vnd.openxmlformats-officedocument.drawing+xml"/>
  <Override PartName="/xl/comments7.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3.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4.xml" ContentType="application/vnd.openxmlformats-officedocument.drawingml.chartshape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defaultThemeVersion="166925"/>
  <mc:AlternateContent xmlns:mc="http://schemas.openxmlformats.org/markup-compatibility/2006">
    <mc:Choice Requires="x15">
      <x15ac:absPath xmlns:x15ac="http://schemas.microsoft.com/office/spreadsheetml/2010/11/ac" url="https://d.docs.live.net/268edeac32c99899/Academia/HULT/Business Valuation/"/>
    </mc:Choice>
  </mc:AlternateContent>
  <xr:revisionPtr revIDLastSave="3410" documentId="13_ncr:1_{2842D7C8-E97D-4C60-A785-3C599D498E94}" xr6:coauthVersionLast="47" xr6:coauthVersionMax="47" xr10:uidLastSave="{CF9B6B05-399D-4CA5-98A8-D7DAF3FA8C18}"/>
  <bookViews>
    <workbookView xWindow="-110" yWindow="-110" windowWidth="25820" windowHeight="15500" tabRatio="858" activeTab="14" xr2:uid="{00000000-000D-0000-FFFF-FFFF00000000}"/>
  </bookViews>
  <sheets>
    <sheet name="Cover" sheetId="1" r:id="rId1"/>
    <sheet name="Input" sheetId="4" r:id="rId2"/>
    <sheet name="Historicals" sheetId="5" r:id="rId3"/>
    <sheet name="Forecast" sheetId="6" r:id="rId4"/>
    <sheet name="Combined" sheetId="163" r:id="rId5"/>
    <sheet name="Comps" sheetId="7" r:id="rId6"/>
    <sheet name="Comps Financials" sheetId="15" r:id="rId7"/>
    <sheet name="C0" sheetId="9" r:id="rId8"/>
    <sheet name="WACC" sheetId="17" r:id="rId9"/>
    <sheet name="DCF" sheetId="19" r:id="rId10"/>
    <sheet name="Market " sheetId="20" r:id="rId11"/>
    <sheet name="C5" sheetId="28" state="hidden" r:id="rId12"/>
    <sheet name="Charts - Target KPI's" sheetId="161" r:id="rId13"/>
    <sheet name="_CIQHiddenCacheSheet" sheetId="164" state="veryHidden" r:id="rId14"/>
    <sheet name="Charts - Peer Analysis" sheetId="162" r:id="rId15"/>
    <sheet name="Other support--&gt;" sheetId="160" r:id="rId16"/>
    <sheet name="Size Premium" sheetId="24" r:id="rId17"/>
    <sheet name="MzOfficeConfig-UNDO-%ù-%ù-%ù" sheetId="31" state="veryHidden" r:id="rId18"/>
    <sheet name="DLOM DLOC" sheetId="26" r:id="rId19"/>
    <sheet name="UPSLIDE_UndoFormatting" sheetId="35" state="hidden" r:id="rId20"/>
    <sheet name="Bf3p1" sheetId="11" state="veryHidden" r:id="rId21"/>
    <sheet name="upsundo" sheetId="10" state="veryHidden" r:id="rId22"/>
  </sheets>
  <definedNames>
    <definedName name="_EXPORT31_1_1045307161087.046597_307161104.792349" localSheetId="2" hidden="1">Historicals!$B$14:$O$65</definedName>
    <definedName name="_EXPORT31_1_106307183874.672617_307183918.938617" localSheetId="18" hidden="1">'DLOM DLOC'!$G$18:$H$30</definedName>
    <definedName name="_EXPORT31_1_1292307183910.718617_307183910.718617" localSheetId="18" hidden="1">'DLOM DLOC'!$B$6:$D$15</definedName>
    <definedName name="_EXPORT31_1_198307183185.468591_307183185.468591" localSheetId="8" hidden="1">WACC!$B$10:$D$31</definedName>
    <definedName name="_EXPORT31_1_2759307161052.547508_307161380.268288" localSheetId="2" hidden="1">Historicals!$B$14:$O$67</definedName>
    <definedName name="_EXPORT31_1_9790307161492.96448_307161492.96448" localSheetId="2" hidden="1">Historicals!$B$181:$O$233</definedName>
    <definedName name="_xlnm._FilterDatabase" localSheetId="14" hidden="1">'Charts - Peer Analysis'!$S$6:$V$6</definedName>
    <definedName name="_xlnm._FilterDatabase" localSheetId="12" hidden="1">'Charts - Target KPI''s'!#REF!</definedName>
    <definedName name="_xlnm._FilterDatabase" localSheetId="4" hidden="1">Combined!#REF!</definedName>
    <definedName name="_UNDO_UPS_" hidden="1">#REF!</definedName>
    <definedName name="_UNDO_UPS_SEL_" hidden="1">#REF!</definedName>
    <definedName name="_UNDO31X31X_" hidden="1">'Market '!$B$58:$E$58</definedName>
    <definedName name="adj.ev.edbitda">'Market '!#REF!</definedName>
    <definedName name="alpha">#REF!</definedName>
    <definedName name="capex.life">#REF!</definedName>
    <definedName name="case">DCF!$C$11</definedName>
    <definedName name="CIQWBGuid" hidden="1">"db20eea0-5ece-45ea-ad05-60d5f0b2198e"</definedName>
    <definedName name="CIQWBInfo" hidden="1">"{ ""CIQVersion"":""9.52.4409.4666"" }"</definedName>
    <definedName name="control.pre">'Market '!$C$60</definedName>
    <definedName name="ctry">WACC!$C$8</definedName>
    <definedName name="curr">Input!$D$7</definedName>
    <definedName name="DLOM">'Market '!$C$61</definedName>
    <definedName name="f.COGS">#REF!</definedName>
    <definedName name="f.depre">#REF!</definedName>
    <definedName name="f.ebit">#REF!</definedName>
    <definedName name="f.ebitda">#REF!</definedName>
    <definedName name="f.other.op.exp">#REF!</definedName>
    <definedName name="f.salary.exp">#REF!</definedName>
    <definedName name="f.sales">#REF!</definedName>
    <definedName name="f.selling.exp">#REF!</definedName>
    <definedName name="h.cash.conv">Historicals!$D$222:$N$222</definedName>
    <definedName name="h.COGS">Historicals!$D$22:$N$22</definedName>
    <definedName name="h.Inv">Historicals!$D$189:$N$189</definedName>
    <definedName name="h.other.op.exp">Historicals!$D$27:$N$27</definedName>
    <definedName name="h.salary.exp">Historicals!$D$26:$N$26</definedName>
    <definedName name="h.sales">Historicals!$D$16:$N$16</definedName>
    <definedName name="h.selling.exp">Historicals!$D$25:$N$25</definedName>
    <definedName name="h.TP">Historicals!$D$190:$N$190</definedName>
    <definedName name="h.TR">Historicals!$D$188:$N$188</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"04/16/2026 04:22:43"</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RI7A15" hidden="1">#REF!</definedName>
    <definedName name="IQRI8A15" hidden="1">#REF!</definedName>
    <definedName name="IQRMultiplesChartsA15" hidden="1">#REF!</definedName>
    <definedName name="IQRSheet10A15" hidden="1">#REF!</definedName>
    <definedName name="IQRSheet10A16" hidden="1">#REF!</definedName>
    <definedName name="IQRSheet10C16" hidden="1">#REF!</definedName>
    <definedName name="IQRSheet16A12" hidden="1">'C5'!$A$13:$A$26</definedName>
    <definedName name="IQRSheet19A15" hidden="1">#REF!</definedName>
    <definedName name="IQRSheet19AA513" hidden="1">#REF!</definedName>
    <definedName name="IQRSheet19AE516" hidden="1">#REF!</definedName>
    <definedName name="IQRSheet19C30" hidden="1">#REF!</definedName>
    <definedName name="IQRSheet19C509" hidden="1">#REF!</definedName>
    <definedName name="IQRSheet19K16" hidden="1">#REF!</definedName>
    <definedName name="IQRSheet19U16" hidden="1">#REF!</definedName>
    <definedName name="IQRSheet19Y265" hidden="1">#REF!</definedName>
    <definedName name="midyear">C0!$O$24:$AR$24</definedName>
    <definedName name="next.fy">Input!$D$12</definedName>
    <definedName name="pcent">Input!$D$5</definedName>
    <definedName name="raw.ev.ebitda">'Market '!#REF!</definedName>
    <definedName name="RUL">#REF!</definedName>
    <definedName name="Subject">Cover!$D$5</definedName>
    <definedName name="tax">Input!$D$6</definedName>
    <definedName name="tv.growth">DCF!$E$57</definedName>
    <definedName name="units">Historicals!$C$10</definedName>
    <definedName name="vd">Input!$D$11</definedName>
    <definedName name="wacc">WACC!$C$30</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26" l="1"/>
  <c r="H29" i="26"/>
  <c r="J11" i="24"/>
  <c r="J12" i="24"/>
  <c r="K11" i="24"/>
  <c r="L11" i="24"/>
  <c r="K12" i="24"/>
  <c r="L12" i="24"/>
  <c r="J13" i="24"/>
  <c r="K13" i="24"/>
  <c r="L13" i="24"/>
  <c r="J14" i="24"/>
  <c r="K14" i="24"/>
  <c r="L14" i="24"/>
  <c r="N14" i="24"/>
  <c r="O14" i="24"/>
  <c r="J15" i="24"/>
  <c r="K15" i="24"/>
  <c r="L15" i="24"/>
  <c r="O15" i="24"/>
  <c r="P15" i="24"/>
  <c r="Q15" i="24"/>
  <c r="Q33" i="24" s="1"/>
  <c r="J16" i="24"/>
  <c r="K16" i="24"/>
  <c r="L16" i="24"/>
  <c r="O16" i="24"/>
  <c r="P16" i="24"/>
  <c r="Q16" i="24"/>
  <c r="J17" i="24"/>
  <c r="K17" i="24"/>
  <c r="L17" i="24"/>
  <c r="O17" i="24"/>
  <c r="P17" i="24"/>
  <c r="Q17" i="24"/>
  <c r="J18" i="24"/>
  <c r="K18" i="24"/>
  <c r="L18" i="24"/>
  <c r="O18" i="24"/>
  <c r="P18" i="24"/>
  <c r="Q18" i="24"/>
  <c r="J19" i="24"/>
  <c r="K19" i="24"/>
  <c r="L19" i="24"/>
  <c r="O19" i="24"/>
  <c r="P19" i="24"/>
  <c r="Q19" i="24"/>
  <c r="Q29" i="24" s="1"/>
  <c r="J20" i="24"/>
  <c r="K20" i="24"/>
  <c r="L20" i="24"/>
  <c r="O20" i="24"/>
  <c r="P20" i="24"/>
  <c r="Q20" i="24"/>
  <c r="Q28" i="24" s="1"/>
  <c r="J21" i="24"/>
  <c r="K21" i="24"/>
  <c r="L21" i="24"/>
  <c r="O21" i="24"/>
  <c r="P21" i="24"/>
  <c r="Q21" i="24"/>
  <c r="Q27" i="24" s="1"/>
  <c r="J22" i="24"/>
  <c r="K22" i="24"/>
  <c r="L22" i="24"/>
  <c r="O22" i="24"/>
  <c r="P22" i="24"/>
  <c r="Q22" i="24"/>
  <c r="J23" i="24"/>
  <c r="K23" i="24"/>
  <c r="L23" i="24"/>
  <c r="O23" i="24"/>
  <c r="P23" i="24"/>
  <c r="Q23" i="24"/>
  <c r="N25" i="24"/>
  <c r="Q25" i="24"/>
  <c r="N26" i="24"/>
  <c r="Q26" i="24"/>
  <c r="N27" i="24"/>
  <c r="N28" i="24"/>
  <c r="N29" i="24"/>
  <c r="N30" i="24"/>
  <c r="Q30" i="24"/>
  <c r="N31" i="24"/>
  <c r="Q31" i="24"/>
  <c r="N32" i="24"/>
  <c r="Q32" i="24"/>
  <c r="N33" i="24"/>
  <c r="N34" i="24"/>
  <c r="B7" i="162"/>
  <c r="C8" i="162"/>
  <c r="M8" i="162"/>
  <c r="N8" i="162"/>
  <c r="T8" i="162"/>
  <c r="H10" i="162"/>
  <c r="I10" i="162"/>
  <c r="M10" i="162"/>
  <c r="N10" i="162"/>
  <c r="S10" i="162"/>
  <c r="T10" i="162"/>
  <c r="I11" i="162"/>
  <c r="N11" i="162"/>
  <c r="T11" i="162"/>
  <c r="T12" i="162"/>
  <c r="T13" i="162"/>
  <c r="C15" i="162"/>
  <c r="I15" i="162"/>
  <c r="T15" i="162"/>
  <c r="B16" i="162"/>
  <c r="C16" i="162"/>
  <c r="H16" i="162"/>
  <c r="I16" i="162"/>
  <c r="M16" i="162"/>
  <c r="N16" i="162"/>
  <c r="B3" i="161"/>
  <c r="B43" i="161" s="1"/>
  <c r="B83" i="161"/>
  <c r="B125" i="161"/>
  <c r="B167" i="161"/>
  <c r="L14" i="28"/>
  <c r="L15" i="28"/>
  <c r="L16" i="28"/>
  <c r="O37" i="28"/>
  <c r="P37" i="28"/>
  <c r="Q37" i="28"/>
  <c r="O39" i="28"/>
  <c r="P39" i="28"/>
  <c r="Q39" i="28"/>
  <c r="B9" i="20"/>
  <c r="C9" i="20"/>
  <c r="G9" i="20"/>
  <c r="U7" i="162" s="1"/>
  <c r="B10" i="20"/>
  <c r="C10" i="20"/>
  <c r="I8" i="162" s="1"/>
  <c r="B11" i="20"/>
  <c r="B9" i="162" s="1"/>
  <c r="C11" i="20"/>
  <c r="C9" i="162" s="1"/>
  <c r="B12" i="20"/>
  <c r="B10" i="162" s="1"/>
  <c r="C12" i="20"/>
  <c r="C10" i="162" s="1"/>
  <c r="B13" i="20"/>
  <c r="H11" i="162" s="1"/>
  <c r="C13" i="20"/>
  <c r="C11" i="162" s="1"/>
  <c r="B14" i="20"/>
  <c r="S12" i="162" s="1"/>
  <c r="C14" i="20"/>
  <c r="B15" i="20"/>
  <c r="B13" i="162" s="1"/>
  <c r="C15" i="20"/>
  <c r="B16" i="20"/>
  <c r="C16" i="20"/>
  <c r="B17" i="20"/>
  <c r="S15" i="162" s="1"/>
  <c r="C17" i="20"/>
  <c r="N15" i="162" s="1"/>
  <c r="B18" i="20"/>
  <c r="S16" i="162" s="1"/>
  <c r="C18" i="20"/>
  <c r="T16" i="162" s="1"/>
  <c r="C19" i="20"/>
  <c r="C20" i="20"/>
  <c r="C21" i="20"/>
  <c r="C22" i="20"/>
  <c r="C23" i="20"/>
  <c r="C24" i="20"/>
  <c r="B49" i="20"/>
  <c r="B58" i="20"/>
  <c r="B59" i="20"/>
  <c r="C59" i="20"/>
  <c r="C60" i="20"/>
  <c r="B61" i="20"/>
  <c r="C61" i="20"/>
  <c r="B62" i="20"/>
  <c r="G12" i="19"/>
  <c r="H15" i="19"/>
  <c r="B17" i="19"/>
  <c r="E57" i="19"/>
  <c r="C33" i="19" s="1"/>
  <c r="C21" i="19"/>
  <c r="D22" i="19"/>
  <c r="E22" i="19"/>
  <c r="F22" i="19"/>
  <c r="G22" i="19"/>
  <c r="H22" i="19"/>
  <c r="I22" i="19"/>
  <c r="J22" i="19"/>
  <c r="K22" i="19"/>
  <c r="L22" i="19"/>
  <c r="M22" i="19"/>
  <c r="N22" i="19"/>
  <c r="O22" i="19"/>
  <c r="P22" i="19"/>
  <c r="Q22" i="19"/>
  <c r="R22" i="19"/>
  <c r="B38" i="19"/>
  <c r="B55" i="20" s="1"/>
  <c r="B39" i="19"/>
  <c r="B56" i="20" s="1"/>
  <c r="D41" i="19"/>
  <c r="C42" i="19"/>
  <c r="C43" i="19"/>
  <c r="B44" i="19"/>
  <c r="B49" i="19"/>
  <c r="E53" i="19"/>
  <c r="D54" i="19"/>
  <c r="E54" i="19"/>
  <c r="F54" i="19"/>
  <c r="D57" i="19"/>
  <c r="F57" i="19"/>
  <c r="B60" i="19"/>
  <c r="B68" i="19"/>
  <c r="B69" i="19"/>
  <c r="C69" i="19"/>
  <c r="B70" i="19"/>
  <c r="C70" i="19"/>
  <c r="B71" i="19"/>
  <c r="C71" i="19"/>
  <c r="B72" i="19"/>
  <c r="C72" i="19"/>
  <c r="C17" i="17"/>
  <c r="C23" i="17"/>
  <c r="C24" i="17"/>
  <c r="C12" i="9"/>
  <c r="C13" i="9"/>
  <c r="L3" i="15"/>
  <c r="B8" i="15"/>
  <c r="C9" i="15"/>
  <c r="B9" i="15" s="1"/>
  <c r="C10" i="15"/>
  <c r="B10" i="15"/>
  <c r="C11" i="15"/>
  <c r="B11" i="15"/>
  <c r="C12" i="15"/>
  <c r="C13" i="15"/>
  <c r="B13" i="15" s="1"/>
  <c r="C14" i="15"/>
  <c r="B14" i="15"/>
  <c r="C15" i="15"/>
  <c r="B15" i="15"/>
  <c r="C16" i="15"/>
  <c r="B16" i="15"/>
  <c r="C17" i="15"/>
  <c r="B17" i="15"/>
  <c r="C18" i="15"/>
  <c r="B18" i="15"/>
  <c r="B15" i="162" l="1"/>
  <c r="B12" i="162"/>
  <c r="H15" i="162"/>
  <c r="M15" i="162"/>
  <c r="L17" i="28"/>
  <c r="H9" i="162"/>
  <c r="B11" i="162"/>
  <c r="M11" i="162"/>
  <c r="S9" i="162"/>
  <c r="M9" i="162"/>
  <c r="M7" i="162"/>
  <c r="S7" i="162"/>
  <c r="H7" i="162"/>
  <c r="M14" i="162"/>
  <c r="S14" i="162"/>
  <c r="H14" i="162"/>
  <c r="B14" i="162"/>
  <c r="I13" i="162"/>
  <c r="C13" i="162"/>
  <c r="N13" i="162"/>
  <c r="T9" i="162"/>
  <c r="N9" i="162"/>
  <c r="S11" i="162"/>
  <c r="I9" i="162"/>
  <c r="T14" i="162"/>
  <c r="N14" i="162"/>
  <c r="C14" i="162"/>
  <c r="B12" i="15"/>
  <c r="I14" i="162"/>
  <c r="B8" i="162"/>
  <c r="S8" i="162"/>
  <c r="H8" i="162"/>
  <c r="P14" i="24"/>
  <c r="Q14" i="24"/>
  <c r="Q34" i="24" s="1"/>
  <c r="S13" i="162"/>
  <c r="H13" i="162"/>
  <c r="H12" i="162"/>
  <c r="M12" i="162"/>
  <c r="C12" i="162"/>
  <c r="I12" i="162"/>
  <c r="N12" i="162"/>
  <c r="M13" i="162"/>
  <c r="L18" i="28" l="1"/>
  <c r="L19" i="28" l="1"/>
  <c r="L20" i="28" l="1"/>
  <c r="L21" i="28" l="1"/>
  <c r="L22" i="28" l="1"/>
  <c r="L23" i="28" l="1"/>
  <c r="L24" i="28" l="1"/>
  <c r="L25" i="28" l="1"/>
  <c r="L26" i="28" l="1"/>
  <c r="O18" i="15" l="1"/>
  <c r="C19" i="15"/>
  <c r="C20" i="15"/>
  <c r="C21" i="15"/>
  <c r="O21" i="15" s="1"/>
  <c r="B21" i="15"/>
  <c r="C22" i="15"/>
  <c r="B22" i="15"/>
  <c r="O22" i="15"/>
  <c r="C23" i="15"/>
  <c r="B23" i="15"/>
  <c r="B28" i="15"/>
  <c r="C29" i="15"/>
  <c r="B29" i="15"/>
  <c r="C30" i="15"/>
  <c r="B30" i="15"/>
  <c r="C31" i="15"/>
  <c r="B31" i="15" s="1"/>
  <c r="C32" i="15"/>
  <c r="B32" i="15"/>
  <c r="C33" i="15"/>
  <c r="B33" i="15"/>
  <c r="C34" i="15"/>
  <c r="B34" i="15"/>
  <c r="C35" i="15"/>
  <c r="B35" i="15"/>
  <c r="C36" i="15"/>
  <c r="B36" i="15"/>
  <c r="C37" i="15"/>
  <c r="B37" i="15" s="1"/>
  <c r="C38" i="15"/>
  <c r="B38" i="15"/>
  <c r="B20" i="15" l="1"/>
  <c r="B19" i="15"/>
  <c r="O20" i="15"/>
  <c r="O19" i="15"/>
  <c r="O23" i="15"/>
  <c r="J32" i="28" l="1"/>
  <c r="J30" i="28"/>
  <c r="J29" i="28"/>
  <c r="J31" i="28"/>
  <c r="J28" i="28"/>
  <c r="I28" i="28"/>
  <c r="I31" i="28"/>
  <c r="P40" i="28" s="1"/>
  <c r="I32" i="28"/>
  <c r="O40" i="28" s="1"/>
  <c r="I30" i="28"/>
  <c r="Q40" i="28" s="1"/>
  <c r="I29" i="28"/>
  <c r="K32" i="28"/>
  <c r="K28" i="28"/>
  <c r="K31" i="28"/>
  <c r="K30" i="28"/>
  <c r="K29" i="28"/>
  <c r="C39" i="15"/>
  <c r="B39" i="15"/>
  <c r="C40" i="15"/>
  <c r="C41" i="15"/>
  <c r="B41" i="15"/>
  <c r="C42" i="15"/>
  <c r="B42" i="15"/>
  <c r="C43" i="15"/>
  <c r="B43" i="15"/>
  <c r="B48" i="15"/>
  <c r="C49" i="15"/>
  <c r="C50" i="15"/>
  <c r="B50" i="15" s="1"/>
  <c r="C51" i="15"/>
  <c r="B51" i="15"/>
  <c r="C52" i="15"/>
  <c r="B52" i="15"/>
  <c r="C53" i="15"/>
  <c r="C54" i="15"/>
  <c r="B54" i="15"/>
  <c r="C55" i="15"/>
  <c r="B55" i="15"/>
  <c r="C56" i="15"/>
  <c r="B56" i="15"/>
  <c r="C57" i="15"/>
  <c r="B57" i="15"/>
  <c r="C58" i="15"/>
  <c r="B58" i="15"/>
  <c r="B40" i="15" l="1"/>
  <c r="B53" i="15"/>
  <c r="B49" i="15"/>
  <c r="C59" i="15"/>
  <c r="B59" i="15"/>
  <c r="C60" i="15"/>
  <c r="B60" i="15"/>
  <c r="C61" i="15"/>
  <c r="B61" i="15"/>
  <c r="C62" i="15"/>
  <c r="B62" i="15"/>
  <c r="C63" i="15"/>
  <c r="B63" i="15"/>
  <c r="B68" i="15"/>
  <c r="C69" i="15"/>
  <c r="B69" i="15" s="1"/>
  <c r="C70" i="15"/>
  <c r="C71" i="15"/>
  <c r="B71" i="15"/>
  <c r="C72" i="15"/>
  <c r="C73" i="15"/>
  <c r="C74" i="15"/>
  <c r="B74" i="15"/>
  <c r="C75" i="15"/>
  <c r="B75" i="15"/>
  <c r="C76" i="15"/>
  <c r="B76" i="15"/>
  <c r="C77" i="15"/>
  <c r="B77" i="15" s="1"/>
  <c r="C78" i="15"/>
  <c r="B78" i="15"/>
  <c r="B70" i="15" l="1"/>
  <c r="B73" i="15"/>
  <c r="B72" i="15"/>
  <c r="C79" i="15"/>
  <c r="B79" i="15" s="1"/>
  <c r="C80" i="15"/>
  <c r="B80" i="15"/>
  <c r="C81" i="15"/>
  <c r="B81" i="15"/>
  <c r="C82" i="15"/>
  <c r="B82" i="15" s="1"/>
  <c r="C83" i="15"/>
  <c r="B83" i="15" s="1"/>
  <c r="C89" i="15"/>
  <c r="C90" i="15"/>
  <c r="C91" i="15"/>
  <c r="B91" i="15"/>
  <c r="C92" i="15"/>
  <c r="B92" i="15" s="1"/>
  <c r="C93" i="15"/>
  <c r="C94" i="15"/>
  <c r="B94" i="15" s="1"/>
  <c r="C95" i="15"/>
  <c r="B95" i="15" s="1"/>
  <c r="C96" i="15"/>
  <c r="B96" i="15"/>
  <c r="C97" i="15"/>
  <c r="B97" i="15" s="1"/>
  <c r="C98" i="15"/>
  <c r="B98" i="15" s="1"/>
  <c r="B93" i="15" l="1"/>
  <c r="B89" i="15"/>
  <c r="B90" i="15"/>
  <c r="O98" i="15"/>
  <c r="C99" i="15"/>
  <c r="B99" i="15" s="1"/>
  <c r="O99" i="15"/>
  <c r="C100" i="15"/>
  <c r="B100" i="15"/>
  <c r="C101" i="15"/>
  <c r="B101" i="15"/>
  <c r="C102" i="15"/>
  <c r="B102" i="15"/>
  <c r="C103" i="15"/>
  <c r="B103" i="15"/>
  <c r="O103" i="15"/>
  <c r="C111" i="15"/>
  <c r="B111" i="15"/>
  <c r="C112" i="15"/>
  <c r="B112" i="15" s="1"/>
  <c r="C113" i="15"/>
  <c r="B113" i="15"/>
  <c r="C114" i="15"/>
  <c r="C115" i="15"/>
  <c r="B115" i="15"/>
  <c r="C116" i="15"/>
  <c r="B116" i="15"/>
  <c r="C117" i="15"/>
  <c r="B117" i="15"/>
  <c r="C118" i="15"/>
  <c r="B118" i="15"/>
  <c r="C119" i="15"/>
  <c r="B119" i="15"/>
  <c r="C120" i="15"/>
  <c r="O120" i="15" s="1"/>
  <c r="B120" i="15"/>
  <c r="D120" i="15"/>
  <c r="E120" i="15"/>
  <c r="F120" i="15"/>
  <c r="G120" i="15"/>
  <c r="H120" i="15"/>
  <c r="I120" i="15"/>
  <c r="J120" i="15"/>
  <c r="K120" i="15"/>
  <c r="L120" i="15"/>
  <c r="M120" i="15"/>
  <c r="N120" i="15"/>
  <c r="C121" i="15"/>
  <c r="B121" i="15"/>
  <c r="D121" i="15"/>
  <c r="E121" i="15"/>
  <c r="F121" i="15"/>
  <c r="G121" i="15"/>
  <c r="H121" i="15"/>
  <c r="I121" i="15"/>
  <c r="J121" i="15"/>
  <c r="K121" i="15"/>
  <c r="L121" i="15"/>
  <c r="M121" i="15"/>
  <c r="N121" i="15"/>
  <c r="O121" i="15"/>
  <c r="C122" i="15"/>
  <c r="B122" i="15"/>
  <c r="D122" i="15"/>
  <c r="E122" i="15"/>
  <c r="F122" i="15"/>
  <c r="G122" i="15"/>
  <c r="H122" i="15"/>
  <c r="I122" i="15"/>
  <c r="J122" i="15"/>
  <c r="K122" i="15"/>
  <c r="L122" i="15"/>
  <c r="M122" i="15"/>
  <c r="N122" i="15"/>
  <c r="O122" i="15"/>
  <c r="C123" i="15"/>
  <c r="O123" i="15" s="1"/>
  <c r="B123" i="15"/>
  <c r="D123" i="15"/>
  <c r="E123" i="15"/>
  <c r="F123" i="15"/>
  <c r="G123" i="15"/>
  <c r="H123" i="15"/>
  <c r="I123" i="15"/>
  <c r="J123" i="15"/>
  <c r="K123" i="15"/>
  <c r="L123" i="15"/>
  <c r="M123" i="15"/>
  <c r="N123" i="15"/>
  <c r="C124" i="15"/>
  <c r="B124" i="15"/>
  <c r="D124" i="15"/>
  <c r="E124" i="15"/>
  <c r="F124" i="15"/>
  <c r="G124" i="15"/>
  <c r="H124" i="15"/>
  <c r="I124" i="15"/>
  <c r="J124" i="15"/>
  <c r="K124" i="15"/>
  <c r="L124" i="15"/>
  <c r="M124" i="15"/>
  <c r="N124" i="15"/>
  <c r="O124" i="15"/>
  <c r="C125" i="15"/>
  <c r="O125" i="15" s="1"/>
  <c r="B125" i="15"/>
  <c r="D125" i="15"/>
  <c r="E125" i="15"/>
  <c r="F125" i="15"/>
  <c r="G125" i="15"/>
  <c r="H125" i="15"/>
  <c r="I125" i="15"/>
  <c r="J125" i="15"/>
  <c r="K125" i="15"/>
  <c r="L125" i="15"/>
  <c r="M125" i="15"/>
  <c r="N125" i="15"/>
  <c r="C134" i="15"/>
  <c r="B134" i="15"/>
  <c r="C135" i="15"/>
  <c r="B135" i="15"/>
  <c r="C136" i="15"/>
  <c r="B136" i="15"/>
  <c r="C137" i="15"/>
  <c r="B137" i="15"/>
  <c r="C138" i="15"/>
  <c r="B138" i="15"/>
  <c r="C139" i="15"/>
  <c r="B139" i="15"/>
  <c r="C140" i="15"/>
  <c r="B140" i="15"/>
  <c r="C141" i="15"/>
  <c r="B141" i="15"/>
  <c r="C142" i="15"/>
  <c r="B142" i="15" s="1"/>
  <c r="C143" i="15"/>
  <c r="B143" i="15"/>
  <c r="D143" i="15"/>
  <c r="E143" i="15"/>
  <c r="F143" i="15"/>
  <c r="G143" i="15"/>
  <c r="H143" i="15"/>
  <c r="I143" i="15"/>
  <c r="J143" i="15"/>
  <c r="K143" i="15"/>
  <c r="L143" i="15"/>
  <c r="M143" i="15"/>
  <c r="N143" i="15"/>
  <c r="O143" i="15"/>
  <c r="C144" i="15"/>
  <c r="D144" i="15"/>
  <c r="E144" i="15"/>
  <c r="F144" i="15"/>
  <c r="G144" i="15"/>
  <c r="H144" i="15"/>
  <c r="I144" i="15"/>
  <c r="J144" i="15"/>
  <c r="K144" i="15"/>
  <c r="L144" i="15"/>
  <c r="M144" i="15"/>
  <c r="N144" i="15"/>
  <c r="C145" i="15"/>
  <c r="B145" i="15"/>
  <c r="D145" i="15"/>
  <c r="E145" i="15"/>
  <c r="F145" i="15"/>
  <c r="G145" i="15"/>
  <c r="H145" i="15"/>
  <c r="I145" i="15"/>
  <c r="J145" i="15"/>
  <c r="K145" i="15"/>
  <c r="L145" i="15"/>
  <c r="M145" i="15"/>
  <c r="N145" i="15"/>
  <c r="O145" i="15"/>
  <c r="C146" i="15"/>
  <c r="O146" i="15" s="1"/>
  <c r="D146" i="15"/>
  <c r="E146" i="15"/>
  <c r="F146" i="15"/>
  <c r="G146" i="15"/>
  <c r="H146" i="15"/>
  <c r="I146" i="15"/>
  <c r="J146" i="15"/>
  <c r="K146" i="15"/>
  <c r="L146" i="15"/>
  <c r="M146" i="15"/>
  <c r="N146" i="15"/>
  <c r="C147" i="15"/>
  <c r="B147" i="15"/>
  <c r="D147" i="15"/>
  <c r="E147" i="15"/>
  <c r="F147" i="15"/>
  <c r="G147" i="15"/>
  <c r="H147" i="15"/>
  <c r="I147" i="15"/>
  <c r="J147" i="15"/>
  <c r="K147" i="15"/>
  <c r="L147" i="15"/>
  <c r="M147" i="15"/>
  <c r="N147" i="15"/>
  <c r="O147" i="15"/>
  <c r="C148" i="15"/>
  <c r="O148" i="15" s="1"/>
  <c r="B148" i="15"/>
  <c r="D148" i="15"/>
  <c r="E148" i="15"/>
  <c r="F148" i="15"/>
  <c r="G148" i="15"/>
  <c r="H148" i="15"/>
  <c r="I148" i="15"/>
  <c r="J148" i="15"/>
  <c r="K148" i="15"/>
  <c r="L148" i="15"/>
  <c r="M148" i="15"/>
  <c r="N148" i="15"/>
  <c r="C157" i="15"/>
  <c r="B157" i="15"/>
  <c r="C158" i="15"/>
  <c r="C159" i="15"/>
  <c r="B159" i="15"/>
  <c r="C160" i="15"/>
  <c r="B160" i="15"/>
  <c r="C161" i="15"/>
  <c r="B161" i="15"/>
  <c r="C162" i="15"/>
  <c r="B162" i="15"/>
  <c r="C163" i="15"/>
  <c r="B163" i="15"/>
  <c r="C164" i="15"/>
  <c r="B164" i="15"/>
  <c r="C165" i="15"/>
  <c r="B165" i="15" s="1"/>
  <c r="C166" i="15"/>
  <c r="B166" i="15"/>
  <c r="D166" i="15"/>
  <c r="E166" i="15"/>
  <c r="F166" i="15"/>
  <c r="G166" i="15"/>
  <c r="H166" i="15"/>
  <c r="I166" i="15"/>
  <c r="J166" i="15"/>
  <c r="K166" i="15"/>
  <c r="L166" i="15"/>
  <c r="M166" i="15"/>
  <c r="N166" i="15"/>
  <c r="O166" i="15"/>
  <c r="C167" i="15"/>
  <c r="O167" i="15" s="1"/>
  <c r="B167" i="15"/>
  <c r="D167" i="15"/>
  <c r="E167" i="15"/>
  <c r="F167" i="15"/>
  <c r="G167" i="15"/>
  <c r="H167" i="15"/>
  <c r="I167" i="15"/>
  <c r="J167" i="15"/>
  <c r="K167" i="15"/>
  <c r="L167" i="15"/>
  <c r="M167" i="15"/>
  <c r="N167" i="15"/>
  <c r="C168" i="15"/>
  <c r="B168" i="15"/>
  <c r="D168" i="15"/>
  <c r="E168" i="15"/>
  <c r="F168" i="15"/>
  <c r="G168" i="15"/>
  <c r="H168" i="15"/>
  <c r="I168" i="15"/>
  <c r="J168" i="15"/>
  <c r="K168" i="15"/>
  <c r="L168" i="15"/>
  <c r="M168" i="15"/>
  <c r="N168" i="15"/>
  <c r="O168" i="15"/>
  <c r="C169" i="15"/>
  <c r="O169" i="15" s="1"/>
  <c r="B169" i="15"/>
  <c r="D169" i="15"/>
  <c r="E169" i="15"/>
  <c r="F169" i="15"/>
  <c r="G169" i="15"/>
  <c r="H169" i="15"/>
  <c r="I169" i="15"/>
  <c r="J169" i="15"/>
  <c r="K169" i="15"/>
  <c r="L169" i="15"/>
  <c r="M169" i="15"/>
  <c r="N169" i="15"/>
  <c r="C170" i="15"/>
  <c r="B170" i="15"/>
  <c r="D170" i="15"/>
  <c r="E170" i="15"/>
  <c r="F170" i="15"/>
  <c r="G170" i="15"/>
  <c r="H170" i="15"/>
  <c r="I170" i="15"/>
  <c r="J170" i="15"/>
  <c r="K170" i="15"/>
  <c r="L170" i="15"/>
  <c r="M170" i="15"/>
  <c r="N170" i="15"/>
  <c r="O170" i="15"/>
  <c r="C171" i="15"/>
  <c r="O171" i="15" s="1"/>
  <c r="B171" i="15"/>
  <c r="D171" i="15"/>
  <c r="E171" i="15"/>
  <c r="F171" i="15"/>
  <c r="G171" i="15"/>
  <c r="H171" i="15"/>
  <c r="I171" i="15"/>
  <c r="J171" i="15"/>
  <c r="K171" i="15"/>
  <c r="L171" i="15"/>
  <c r="M171" i="15"/>
  <c r="N171" i="15"/>
  <c r="C181" i="15"/>
  <c r="B181" i="15"/>
  <c r="C182" i="15"/>
  <c r="B182" i="15"/>
  <c r="C183" i="15"/>
  <c r="B183" i="15"/>
  <c r="C184" i="15"/>
  <c r="B184" i="15"/>
  <c r="C185" i="15"/>
  <c r="B185" i="15"/>
  <c r="C186" i="15"/>
  <c r="B186" i="15"/>
  <c r="C187" i="15"/>
  <c r="B187" i="15" s="1"/>
  <c r="C188" i="15"/>
  <c r="B188" i="15"/>
  <c r="C189" i="15"/>
  <c r="B189" i="15"/>
  <c r="C190" i="15"/>
  <c r="B190" i="15"/>
  <c r="B146" i="15" l="1"/>
  <c r="O100" i="15"/>
  <c r="B158" i="15"/>
  <c r="B144" i="15"/>
  <c r="O144" i="15"/>
  <c r="B114" i="15"/>
  <c r="O101" i="15"/>
  <c r="O102" i="15"/>
  <c r="O190" i="15"/>
  <c r="C191" i="15"/>
  <c r="B191" i="15" s="1"/>
  <c r="O191" i="15"/>
  <c r="C192" i="15"/>
  <c r="C193" i="15"/>
  <c r="B193" i="15"/>
  <c r="C194" i="15"/>
  <c r="B194" i="15"/>
  <c r="C195" i="15"/>
  <c r="B195" i="15"/>
  <c r="O195" i="15"/>
  <c r="C204" i="15"/>
  <c r="C205" i="15"/>
  <c r="B205" i="15"/>
  <c r="C206" i="15"/>
  <c r="B206" i="15"/>
  <c r="C207" i="15"/>
  <c r="B207" i="15"/>
  <c r="C208" i="15"/>
  <c r="B208" i="15"/>
  <c r="C209" i="15"/>
  <c r="B209" i="15"/>
  <c r="C210" i="15"/>
  <c r="B210" i="15"/>
  <c r="C211" i="15"/>
  <c r="B211" i="15" s="1"/>
  <c r="C212" i="15"/>
  <c r="C213" i="15"/>
  <c r="B213" i="15"/>
  <c r="O192" i="15" l="1"/>
  <c r="O194" i="15"/>
  <c r="B192" i="15"/>
  <c r="O193" i="15"/>
  <c r="B212" i="15"/>
  <c r="B204" i="15"/>
  <c r="O213" i="15"/>
  <c r="C214" i="15"/>
  <c r="B214" i="15" s="1"/>
  <c r="O214" i="15"/>
  <c r="C215" i="15"/>
  <c r="O215" i="15" s="1"/>
  <c r="B215" i="15"/>
  <c r="C216" i="15"/>
  <c r="B216" i="15"/>
  <c r="C217" i="15"/>
  <c r="B217" i="15"/>
  <c r="C218" i="15"/>
  <c r="B218" i="15"/>
  <c r="O218" i="15"/>
  <c r="C227" i="15"/>
  <c r="B227" i="15"/>
  <c r="C228" i="15"/>
  <c r="C229" i="15"/>
  <c r="B229" i="15"/>
  <c r="C230" i="15"/>
  <c r="B230" i="15"/>
  <c r="C231" i="15"/>
  <c r="B231" i="15"/>
  <c r="C232" i="15"/>
  <c r="B232" i="15" s="1"/>
  <c r="C233" i="15"/>
  <c r="B233" i="15"/>
  <c r="C234" i="15"/>
  <c r="B234" i="15" s="1"/>
  <c r="C235" i="15"/>
  <c r="B235" i="15"/>
  <c r="C236" i="15"/>
  <c r="B236" i="15"/>
  <c r="O217" i="15" l="1"/>
  <c r="O216" i="15"/>
  <c r="B228" i="15"/>
  <c r="O236" i="15"/>
  <c r="C237" i="15"/>
  <c r="B237" i="15" s="1"/>
  <c r="O237" i="15"/>
  <c r="C238" i="15"/>
  <c r="B238" i="15"/>
  <c r="C239" i="15"/>
  <c r="B239" i="15"/>
  <c r="C240" i="15"/>
  <c r="B240" i="15"/>
  <c r="C241" i="15"/>
  <c r="B241" i="15" s="1"/>
  <c r="O241" i="15"/>
  <c r="C5" i="7"/>
  <c r="I5" i="7"/>
  <c r="C6" i="7"/>
  <c r="I6" i="7"/>
  <c r="C8" i="7"/>
  <c r="E10" i="7"/>
  <c r="H10" i="7"/>
  <c r="N10" i="7"/>
  <c r="C12" i="17" l="1"/>
  <c r="G18" i="20"/>
  <c r="U16" i="162" s="1"/>
  <c r="E18" i="20"/>
  <c r="J16" i="162" s="1"/>
  <c r="E17" i="20"/>
  <c r="J15" i="162" s="1"/>
  <c r="G17" i="20"/>
  <c r="U15" i="162" s="1"/>
  <c r="G16" i="20"/>
  <c r="U14" i="162" s="1"/>
  <c r="E16" i="20"/>
  <c r="J14" i="162" s="1"/>
  <c r="E15" i="20"/>
  <c r="J13" i="162" s="1"/>
  <c r="G15" i="20"/>
  <c r="U13" i="162" s="1"/>
  <c r="G14" i="20"/>
  <c r="U12" i="162" s="1"/>
  <c r="E14" i="20"/>
  <c r="J12" i="162" s="1"/>
  <c r="E13" i="20"/>
  <c r="J11" i="162" s="1"/>
  <c r="G13" i="20"/>
  <c r="U11" i="162" s="1"/>
  <c r="G12" i="20"/>
  <c r="U10" i="162" s="1"/>
  <c r="E12" i="20"/>
  <c r="J10" i="162" s="1"/>
  <c r="E11" i="20"/>
  <c r="J9" i="162" s="1"/>
  <c r="G11" i="20"/>
  <c r="U9" i="162" s="1"/>
  <c r="E10" i="20"/>
  <c r="J8" i="162" s="1"/>
  <c r="G10" i="20"/>
  <c r="J13" i="7"/>
  <c r="D18" i="20"/>
  <c r="D16" i="162" s="1"/>
  <c r="D17" i="20"/>
  <c r="D15" i="162" s="1"/>
  <c r="I20" i="7"/>
  <c r="J20" i="7" s="1"/>
  <c r="D16" i="20"/>
  <c r="D14" i="162" s="1"/>
  <c r="D15" i="20"/>
  <c r="D13" i="162" s="1"/>
  <c r="I18" i="7"/>
  <c r="D14" i="20"/>
  <c r="D12" i="162" s="1"/>
  <c r="D13" i="20"/>
  <c r="D11" i="162" s="1"/>
  <c r="I15" i="7"/>
  <c r="D12" i="20"/>
  <c r="D10" i="162" s="1"/>
  <c r="I14" i="7"/>
  <c r="J14" i="7" s="1"/>
  <c r="D11" i="20"/>
  <c r="D9" i="162" s="1"/>
  <c r="I13" i="7"/>
  <c r="D10" i="20"/>
  <c r="D8" i="162" s="1"/>
  <c r="O238" i="15"/>
  <c r="O240" i="15"/>
  <c r="O239" i="15"/>
  <c r="C4" i="7"/>
  <c r="B19" i="20"/>
  <c r="J18" i="7" l="1"/>
  <c r="I21" i="7"/>
  <c r="U8" i="162"/>
  <c r="I17" i="7"/>
  <c r="J17" i="7" s="1"/>
  <c r="J15" i="7"/>
  <c r="J16" i="7"/>
  <c r="I19" i="7"/>
  <c r="J19" i="7" s="1"/>
  <c r="J21" i="7"/>
  <c r="I16" i="7"/>
  <c r="D19" i="20" l="1"/>
  <c r="E19" i="20"/>
  <c r="G22" i="7"/>
  <c r="F19" i="20" s="1"/>
  <c r="G19" i="20"/>
  <c r="I22" i="7"/>
  <c r="J22" i="7" l="1"/>
  <c r="B20" i="20"/>
  <c r="D20" i="20"/>
  <c r="E20" i="20"/>
  <c r="G23" i="7"/>
  <c r="F20" i="20" s="1"/>
  <c r="I23" i="7"/>
  <c r="B21" i="20"/>
  <c r="D21" i="20"/>
  <c r="E21" i="20"/>
  <c r="G24" i="7"/>
  <c r="F21" i="20" s="1"/>
  <c r="G21" i="20"/>
  <c r="I24" i="7"/>
  <c r="J24" i="7"/>
  <c r="B22" i="20"/>
  <c r="D22" i="20"/>
  <c r="E22" i="20"/>
  <c r="G25" i="7"/>
  <c r="F22" i="20" s="1"/>
  <c r="G22" i="20"/>
  <c r="I25" i="7"/>
  <c r="J25" i="7"/>
  <c r="B23" i="20"/>
  <c r="D23" i="20"/>
  <c r="E23" i="20"/>
  <c r="G26" i="7"/>
  <c r="F23" i="20" s="1"/>
  <c r="G23" i="20"/>
  <c r="I26" i="7"/>
  <c r="J26" i="7"/>
  <c r="B24" i="20"/>
  <c r="D24" i="20"/>
  <c r="E24" i="20"/>
  <c r="G27" i="7"/>
  <c r="F24" i="20" s="1"/>
  <c r="G24" i="20"/>
  <c r="I27" i="7"/>
  <c r="J27" i="7"/>
  <c r="F30" i="7"/>
  <c r="E57" i="7"/>
  <c r="B58" i="7"/>
  <c r="D60" i="7"/>
  <c r="D61" i="7"/>
  <c r="D62" i="7"/>
  <c r="D63" i="7"/>
  <c r="D64" i="7"/>
  <c r="D65" i="7"/>
  <c r="D66" i="7"/>
  <c r="B1" i="163"/>
  <c r="B43" i="163"/>
  <c r="B3" i="163" s="1"/>
  <c r="B2" i="163"/>
  <c r="R3" i="163"/>
  <c r="R28" i="163" s="1"/>
  <c r="S3" i="163"/>
  <c r="S28" i="163" s="1"/>
  <c r="B4" i="163"/>
  <c r="K4" i="163"/>
  <c r="B44" i="163"/>
  <c r="B5" i="163"/>
  <c r="H5" i="163"/>
  <c r="I5" i="163"/>
  <c r="J5" i="163"/>
  <c r="K5" i="163"/>
  <c r="L5" i="163"/>
  <c r="M5" i="163"/>
  <c r="P6" i="163"/>
  <c r="Q6" i="163"/>
  <c r="R6" i="163"/>
  <c r="S6" i="163"/>
  <c r="Z6" i="163" s="1"/>
  <c r="T6" i="163"/>
  <c r="J7" i="163"/>
  <c r="K7" i="163"/>
  <c r="O7" i="163"/>
  <c r="P7" i="163"/>
  <c r="Q7" i="163"/>
  <c r="R7" i="163"/>
  <c r="S7" i="163"/>
  <c r="B45" i="163"/>
  <c r="B8" i="163"/>
  <c r="C8" i="163"/>
  <c r="D8" i="163"/>
  <c r="E8" i="163"/>
  <c r="F8" i="163"/>
  <c r="G8" i="163"/>
  <c r="H8" i="163"/>
  <c r="I8" i="163"/>
  <c r="J8" i="163"/>
  <c r="K8" i="163"/>
  <c r="L8" i="163"/>
  <c r="M8" i="163"/>
  <c r="B9" i="163"/>
  <c r="O9" i="163"/>
  <c r="P9" i="163"/>
  <c r="Q9" i="163"/>
  <c r="R9" i="163"/>
  <c r="S9" i="163"/>
  <c r="T9" i="163"/>
  <c r="U9" i="163"/>
  <c r="V9" i="163"/>
  <c r="W9" i="163"/>
  <c r="X9" i="163"/>
  <c r="Y9" i="163"/>
  <c r="Z9" i="163"/>
  <c r="B10" i="163"/>
  <c r="Y10" i="163"/>
  <c r="B46" i="163"/>
  <c r="C11" i="163"/>
  <c r="D11" i="163"/>
  <c r="E11" i="163"/>
  <c r="F11" i="163"/>
  <c r="G11" i="163"/>
  <c r="H11" i="163"/>
  <c r="I11" i="163"/>
  <c r="J11" i="163"/>
  <c r="K11" i="163"/>
  <c r="L11" i="163"/>
  <c r="M11" i="163"/>
  <c r="Z12" i="163" s="1"/>
  <c r="O12" i="163"/>
  <c r="P12" i="163"/>
  <c r="Q12" i="163"/>
  <c r="R12" i="163"/>
  <c r="S12" i="163"/>
  <c r="T12" i="163"/>
  <c r="U12" i="163"/>
  <c r="V12" i="163"/>
  <c r="W12" i="163"/>
  <c r="X12" i="163"/>
  <c r="Y12" i="163"/>
  <c r="C13" i="163"/>
  <c r="D13" i="163"/>
  <c r="E13" i="163"/>
  <c r="F13" i="163"/>
  <c r="G13" i="163"/>
  <c r="H13" i="163"/>
  <c r="K13" i="163"/>
  <c r="L13" i="163"/>
  <c r="M13" i="163"/>
  <c r="R13" i="163"/>
  <c r="S13" i="163"/>
  <c r="T13" i="163"/>
  <c r="U13" i="163"/>
  <c r="V13" i="163"/>
  <c r="W13" i="163"/>
  <c r="B47" i="163"/>
  <c r="B14" i="163" s="1"/>
  <c r="C14" i="163"/>
  <c r="D14" i="163"/>
  <c r="E14" i="163"/>
  <c r="F14" i="163"/>
  <c r="G14" i="163"/>
  <c r="H14" i="163"/>
  <c r="I14" i="163"/>
  <c r="J14" i="163"/>
  <c r="K14" i="163"/>
  <c r="L14" i="163"/>
  <c r="M14" i="163"/>
  <c r="B15" i="163"/>
  <c r="O15" i="163"/>
  <c r="P15" i="163"/>
  <c r="Q15" i="163"/>
  <c r="R15" i="163"/>
  <c r="S15" i="163"/>
  <c r="Z15" i="163" s="1"/>
  <c r="T15" i="163"/>
  <c r="U15" i="163"/>
  <c r="V15" i="163"/>
  <c r="W15" i="163"/>
  <c r="X15" i="163"/>
  <c r="Y15" i="163"/>
  <c r="B16" i="163"/>
  <c r="C16" i="163"/>
  <c r="L16" i="163"/>
  <c r="M16" i="163"/>
  <c r="P16" i="163"/>
  <c r="Q16" i="163"/>
  <c r="R16" i="163"/>
  <c r="S16" i="163"/>
  <c r="U16" i="163"/>
  <c r="V16" i="163"/>
  <c r="B48" i="163"/>
  <c r="B18" i="163" s="1"/>
  <c r="B17" i="163"/>
  <c r="C17" i="163"/>
  <c r="D17" i="163"/>
  <c r="E17" i="163"/>
  <c r="F17" i="163"/>
  <c r="G17" i="163"/>
  <c r="H17" i="163"/>
  <c r="I17" i="163"/>
  <c r="J17" i="163"/>
  <c r="K17" i="163"/>
  <c r="L17" i="163"/>
  <c r="M17" i="163"/>
  <c r="O18" i="163"/>
  <c r="P18" i="163"/>
  <c r="Q18" i="163"/>
  <c r="R18" i="163"/>
  <c r="S18" i="163"/>
  <c r="T18" i="163"/>
  <c r="U18" i="163"/>
  <c r="V18" i="163"/>
  <c r="W18" i="163"/>
  <c r="X18" i="163"/>
  <c r="Y18" i="163"/>
  <c r="Z18" i="163"/>
  <c r="B19" i="163"/>
  <c r="C19" i="163"/>
  <c r="D19" i="163"/>
  <c r="F19" i="163"/>
  <c r="G19" i="163"/>
  <c r="S19" i="163"/>
  <c r="B49" i="163"/>
  <c r="B22" i="163" s="1"/>
  <c r="B20" i="163"/>
  <c r="C20" i="163"/>
  <c r="D20" i="163"/>
  <c r="E20" i="163"/>
  <c r="F20" i="163"/>
  <c r="G20" i="163"/>
  <c r="H20" i="163"/>
  <c r="I20" i="163"/>
  <c r="J20" i="163"/>
  <c r="K20" i="163"/>
  <c r="L20" i="163"/>
  <c r="M20" i="163"/>
  <c r="B21" i="163"/>
  <c r="O21" i="163"/>
  <c r="P21" i="163"/>
  <c r="Q21" i="163"/>
  <c r="R21" i="163"/>
  <c r="S21" i="163"/>
  <c r="Z21" i="163" s="1"/>
  <c r="T21" i="163"/>
  <c r="U21" i="163"/>
  <c r="V21" i="163"/>
  <c r="W21" i="163"/>
  <c r="X21" i="163"/>
  <c r="Y21" i="163"/>
  <c r="C22" i="163"/>
  <c r="P22" i="163"/>
  <c r="Q22" i="163"/>
  <c r="R22" i="163"/>
  <c r="S22" i="163"/>
  <c r="T22" i="163"/>
  <c r="U22" i="163"/>
  <c r="V22" i="163"/>
  <c r="B50" i="163"/>
  <c r="B23" i="163"/>
  <c r="H23" i="163"/>
  <c r="S24" i="163"/>
  <c r="T24" i="163"/>
  <c r="B51" i="163"/>
  <c r="B28" i="163" s="1"/>
  <c r="B26" i="163"/>
  <c r="C26" i="163"/>
  <c r="D26" i="163"/>
  <c r="E26" i="163"/>
  <c r="F26" i="163"/>
  <c r="G26" i="163"/>
  <c r="H26" i="163"/>
  <c r="I26" i="163"/>
  <c r="J26" i="163"/>
  <c r="K26" i="163"/>
  <c r="L26" i="163"/>
  <c r="M26" i="163"/>
  <c r="Q27" i="163"/>
  <c r="R27" i="163"/>
  <c r="S27" i="163"/>
  <c r="T27" i="163"/>
  <c r="U27" i="163"/>
  <c r="V27" i="163"/>
  <c r="J28" i="163"/>
  <c r="M28" i="163"/>
  <c r="B52" i="163"/>
  <c r="B31" i="163" s="1"/>
  <c r="B30" i="163"/>
  <c r="T31" i="163"/>
  <c r="U31" i="163"/>
  <c r="V31" i="163"/>
  <c r="W31" i="163"/>
  <c r="X31" i="163"/>
  <c r="Y31" i="163"/>
  <c r="B32" i="163"/>
  <c r="R32" i="163"/>
  <c r="S32" i="163"/>
  <c r="B33" i="163"/>
  <c r="F33" i="163"/>
  <c r="G33" i="163"/>
  <c r="H33" i="163"/>
  <c r="I33" i="163"/>
  <c r="J33" i="163"/>
  <c r="Q33" i="163"/>
  <c r="R33" i="163"/>
  <c r="Y33" i="163"/>
  <c r="B34" i="163"/>
  <c r="T34" i="163"/>
  <c r="U34" i="163"/>
  <c r="V34" i="163"/>
  <c r="W34" i="163"/>
  <c r="X34" i="163"/>
  <c r="Y34" i="163"/>
  <c r="B35" i="163"/>
  <c r="B36" i="163"/>
  <c r="X37" i="163"/>
  <c r="Y37" i="163"/>
  <c r="C11" i="6"/>
  <c r="B15" i="6"/>
  <c r="B17" i="6"/>
  <c r="B43" i="6" s="1"/>
  <c r="D17" i="6"/>
  <c r="D51" i="6" s="1"/>
  <c r="O10" i="163" s="1"/>
  <c r="E17" i="6"/>
  <c r="P3" i="163" s="1"/>
  <c r="F17" i="6"/>
  <c r="F51" i="6" s="1"/>
  <c r="Q10" i="163" s="1"/>
  <c r="G17" i="6"/>
  <c r="Q5" i="161" s="1"/>
  <c r="H17" i="6"/>
  <c r="R5" i="161" s="1"/>
  <c r="I17" i="6"/>
  <c r="J17" i="6"/>
  <c r="U3" i="163" s="1"/>
  <c r="U28" i="163" s="1"/>
  <c r="K17" i="6"/>
  <c r="L17" i="6"/>
  <c r="M17" i="6"/>
  <c r="N17" i="6"/>
  <c r="B18" i="6"/>
  <c r="B19" i="6"/>
  <c r="B20" i="6"/>
  <c r="B21" i="6"/>
  <c r="B23" i="6"/>
  <c r="B24" i="6"/>
  <c r="D24" i="6"/>
  <c r="E24" i="6"/>
  <c r="O45" i="161" s="1"/>
  <c r="F24" i="6"/>
  <c r="P45" i="161" s="1"/>
  <c r="G24" i="6"/>
  <c r="Q45" i="161" s="1"/>
  <c r="H24" i="6"/>
  <c r="R45" i="161" s="1"/>
  <c r="I24" i="6"/>
  <c r="S45" i="161" s="1"/>
  <c r="J24" i="6"/>
  <c r="T45" i="161" s="1"/>
  <c r="K24" i="6"/>
  <c r="U45" i="161" s="1"/>
  <c r="L24" i="6"/>
  <c r="V45" i="161" s="1"/>
  <c r="M24" i="6"/>
  <c r="W45" i="161" s="1"/>
  <c r="N24" i="6"/>
  <c r="B26" i="6"/>
  <c r="C26" i="6"/>
  <c r="B27" i="6"/>
  <c r="B45" i="6" s="1"/>
  <c r="C27" i="6"/>
  <c r="B28" i="6"/>
  <c r="B46" i="6" s="1"/>
  <c r="C28" i="6"/>
  <c r="B29" i="6"/>
  <c r="C29" i="6"/>
  <c r="B30" i="6"/>
  <c r="B48" i="6" s="1"/>
  <c r="C30" i="6"/>
  <c r="B31" i="6"/>
  <c r="D31" i="6"/>
  <c r="E31" i="6"/>
  <c r="F31" i="6"/>
  <c r="G31" i="6"/>
  <c r="H31" i="6"/>
  <c r="H35" i="6" s="1"/>
  <c r="I31" i="6"/>
  <c r="I35" i="6" s="1"/>
  <c r="S85" i="161" s="1"/>
  <c r="J31" i="6"/>
  <c r="K31" i="6"/>
  <c r="L31" i="6"/>
  <c r="M31" i="6"/>
  <c r="N31" i="6"/>
  <c r="B33" i="6"/>
  <c r="B34" i="6"/>
  <c r="B35" i="6"/>
  <c r="J35" i="6"/>
  <c r="K35" i="6"/>
  <c r="L35" i="6"/>
  <c r="H43" i="6"/>
  <c r="N43" i="6"/>
  <c r="X6" i="161" s="1"/>
  <c r="B44" i="6"/>
  <c r="E44" i="6"/>
  <c r="F44" i="6"/>
  <c r="G44" i="6"/>
  <c r="H44" i="6"/>
  <c r="I44" i="6"/>
  <c r="J44" i="6"/>
  <c r="K44" i="6"/>
  <c r="L44" i="6"/>
  <c r="M44" i="6"/>
  <c r="N44" i="6"/>
  <c r="E45" i="6"/>
  <c r="P13" i="163" s="1"/>
  <c r="F45" i="6"/>
  <c r="Q13" i="163" s="1"/>
  <c r="G45" i="6"/>
  <c r="H45" i="6"/>
  <c r="I45" i="6"/>
  <c r="J45" i="6"/>
  <c r="K45" i="6"/>
  <c r="L45" i="6"/>
  <c r="M45" i="6"/>
  <c r="X13" i="163" s="1"/>
  <c r="N45" i="6"/>
  <c r="Y13" i="163" s="1"/>
  <c r="E46" i="6"/>
  <c r="F46" i="6"/>
  <c r="G46" i="6"/>
  <c r="H46" i="6"/>
  <c r="I46" i="6"/>
  <c r="T16" i="163" s="1"/>
  <c r="J46" i="6"/>
  <c r="K46" i="6"/>
  <c r="L46" i="6"/>
  <c r="W16" i="163" s="1"/>
  <c r="M46" i="6"/>
  <c r="X16" i="163" s="1"/>
  <c r="N46" i="6"/>
  <c r="Y16" i="163" s="1"/>
  <c r="B47" i="6"/>
  <c r="E47" i="6"/>
  <c r="P19" i="163" s="1"/>
  <c r="F47" i="6"/>
  <c r="Q19" i="163" s="1"/>
  <c r="G47" i="6"/>
  <c r="R19" i="163" s="1"/>
  <c r="H47" i="6"/>
  <c r="I47" i="6"/>
  <c r="T19" i="163" s="1"/>
  <c r="J47" i="6"/>
  <c r="U19" i="163" s="1"/>
  <c r="K47" i="6"/>
  <c r="V19" i="163" s="1"/>
  <c r="L47" i="6"/>
  <c r="W19" i="163" s="1"/>
  <c r="M47" i="6"/>
  <c r="X19" i="163" s="1"/>
  <c r="N47" i="6"/>
  <c r="Y19" i="163" s="1"/>
  <c r="E48" i="6"/>
  <c r="F48" i="6"/>
  <c r="G48" i="6"/>
  <c r="H48" i="6"/>
  <c r="I48" i="6"/>
  <c r="J48" i="6"/>
  <c r="K48" i="6"/>
  <c r="L48" i="6"/>
  <c r="W22" i="163" s="1"/>
  <c r="M48" i="6"/>
  <c r="X22" i="163" s="1"/>
  <c r="N48" i="6"/>
  <c r="Y22" i="163" s="1"/>
  <c r="B51" i="6"/>
  <c r="G51" i="6"/>
  <c r="R10" i="163" s="1"/>
  <c r="M51" i="6"/>
  <c r="X10" i="163" s="1"/>
  <c r="N51" i="6"/>
  <c r="B52" i="6"/>
  <c r="D52" i="6"/>
  <c r="N46" i="161" s="1"/>
  <c r="E52" i="6"/>
  <c r="O46" i="161" s="1"/>
  <c r="F52" i="6"/>
  <c r="P46" i="161" s="1"/>
  <c r="G52" i="6"/>
  <c r="Q46" i="161" s="1"/>
  <c r="H52" i="6"/>
  <c r="R46" i="161" s="1"/>
  <c r="B53" i="6"/>
  <c r="B54" i="6"/>
  <c r="H54" i="6"/>
  <c r="I54" i="6"/>
  <c r="J54" i="6"/>
  <c r="D67" i="6"/>
  <c r="D57" i="6"/>
  <c r="E67" i="6"/>
  <c r="E57" i="6" s="1"/>
  <c r="F67" i="6"/>
  <c r="F57" i="6"/>
  <c r="P169" i="161" s="1"/>
  <c r="G67" i="6"/>
  <c r="G57" i="6"/>
  <c r="Q169" i="161" s="1"/>
  <c r="H67" i="6"/>
  <c r="H57" i="6"/>
  <c r="R169" i="161" s="1"/>
  <c r="I67" i="6"/>
  <c r="I57" i="6"/>
  <c r="S169" i="161" s="1"/>
  <c r="J67" i="6"/>
  <c r="J57" i="6"/>
  <c r="T169" i="161" s="1"/>
  <c r="K67" i="6"/>
  <c r="K57" i="6"/>
  <c r="U169" i="161" s="1"/>
  <c r="L67" i="6"/>
  <c r="L57" i="6"/>
  <c r="M67" i="6"/>
  <c r="M57" i="6"/>
  <c r="N67" i="6"/>
  <c r="N57" i="6" s="1"/>
  <c r="D100" i="6"/>
  <c r="O31" i="163" s="1"/>
  <c r="E100" i="6"/>
  <c r="E101" i="6"/>
  <c r="E58" i="6"/>
  <c r="F100" i="6"/>
  <c r="G100" i="6"/>
  <c r="R31" i="163" s="1"/>
  <c r="H100" i="6"/>
  <c r="H101" i="6"/>
  <c r="H58" i="6" s="1"/>
  <c r="I100" i="6"/>
  <c r="J101" i="6" s="1"/>
  <c r="J58" i="6" s="1"/>
  <c r="J100" i="6"/>
  <c r="K100" i="6"/>
  <c r="K101" i="6"/>
  <c r="K58" i="6"/>
  <c r="L100" i="6"/>
  <c r="M101" i="6" s="1"/>
  <c r="M58" i="6" s="1"/>
  <c r="L101" i="6"/>
  <c r="L58" i="6"/>
  <c r="M100" i="6"/>
  <c r="N100" i="6"/>
  <c r="B63" i="6"/>
  <c r="E71" i="6"/>
  <c r="F71" i="6"/>
  <c r="G71" i="6"/>
  <c r="H71" i="6"/>
  <c r="M71" i="6"/>
  <c r="N71" i="6"/>
  <c r="B75" i="6"/>
  <c r="B85" i="6"/>
  <c r="B93" i="6"/>
  <c r="B126" i="6"/>
  <c r="B95" i="6" s="1"/>
  <c r="B127" i="6"/>
  <c r="B96" i="6" s="1"/>
  <c r="B128" i="6"/>
  <c r="B97" i="6" s="1"/>
  <c r="B129" i="6"/>
  <c r="B98" i="6"/>
  <c r="B130" i="6"/>
  <c r="B99" i="6"/>
  <c r="B131" i="6"/>
  <c r="B100" i="6"/>
  <c r="B105" i="6"/>
  <c r="G105" i="6"/>
  <c r="H105" i="6"/>
  <c r="M105" i="6"/>
  <c r="X32" i="163" s="1"/>
  <c r="N105" i="6"/>
  <c r="B106" i="6"/>
  <c r="D106" i="6"/>
  <c r="O33" i="163" s="1"/>
  <c r="E106" i="6"/>
  <c r="P33" i="163" s="1"/>
  <c r="F106" i="6"/>
  <c r="G106" i="6"/>
  <c r="H106" i="6"/>
  <c r="S33" i="163" s="1"/>
  <c r="I106" i="6"/>
  <c r="T33" i="163" s="1"/>
  <c r="J106" i="6"/>
  <c r="U33" i="163" s="1"/>
  <c r="K106" i="6"/>
  <c r="V33" i="163" s="1"/>
  <c r="L106" i="6"/>
  <c r="W33" i="163" s="1"/>
  <c r="M106" i="6"/>
  <c r="X33" i="163" s="1"/>
  <c r="X35" i="163" s="1"/>
  <c r="N106" i="6"/>
  <c r="B107" i="6"/>
  <c r="D107" i="6"/>
  <c r="E107" i="6"/>
  <c r="P34" i="163" s="1"/>
  <c r="F107" i="6"/>
  <c r="Q34" i="163" s="1"/>
  <c r="G107" i="6"/>
  <c r="R34" i="163" s="1"/>
  <c r="H107" i="6"/>
  <c r="S34" i="163" s="1"/>
  <c r="I107" i="6"/>
  <c r="J107" i="6"/>
  <c r="K107" i="6"/>
  <c r="L107" i="6"/>
  <c r="M107" i="6"/>
  <c r="N107" i="6"/>
  <c r="B108" i="6"/>
  <c r="G108" i="6"/>
  <c r="B110" i="6"/>
  <c r="B111" i="6"/>
  <c r="D111" i="6"/>
  <c r="O36" i="163" s="1"/>
  <c r="E111" i="6"/>
  <c r="P36" i="163" s="1"/>
  <c r="F111" i="6"/>
  <c r="Q36" i="163" s="1"/>
  <c r="G111" i="6"/>
  <c r="R36" i="163" s="1"/>
  <c r="H111" i="6"/>
  <c r="S36" i="163" s="1"/>
  <c r="B112" i="6"/>
  <c r="M112" i="6"/>
  <c r="N112" i="6"/>
  <c r="B117" i="6"/>
  <c r="B124" i="6"/>
  <c r="C10" i="5"/>
  <c r="B14" i="5"/>
  <c r="B15" i="5"/>
  <c r="D16" i="5"/>
  <c r="D61" i="5" s="1"/>
  <c r="E16" i="5"/>
  <c r="E61" i="5" s="1"/>
  <c r="F16" i="5"/>
  <c r="F61" i="5" s="1"/>
  <c r="G16" i="5"/>
  <c r="G211" i="5" s="1"/>
  <c r="F29" i="163" s="1"/>
  <c r="H16" i="5"/>
  <c r="H61" i="5" s="1"/>
  <c r="I16" i="5"/>
  <c r="J16" i="5"/>
  <c r="K51" i="5" s="1"/>
  <c r="K16" i="5"/>
  <c r="J4" i="161" s="1"/>
  <c r="L16" i="5"/>
  <c r="K4" i="161" s="1"/>
  <c r="M16" i="5"/>
  <c r="N16" i="5"/>
  <c r="D23" i="5"/>
  <c r="C44" i="161" s="1"/>
  <c r="E23" i="5"/>
  <c r="D44" i="161" s="1"/>
  <c r="F23" i="5"/>
  <c r="E44" i="161" s="1"/>
  <c r="G23" i="5"/>
  <c r="H23" i="5"/>
  <c r="I23" i="5"/>
  <c r="H44" i="161" s="1"/>
  <c r="J23" i="5"/>
  <c r="I44" i="161" s="1"/>
  <c r="K23" i="5"/>
  <c r="J44" i="161" s="1"/>
  <c r="L23" i="5"/>
  <c r="K44" i="161" s="1"/>
  <c r="M23" i="5"/>
  <c r="L44" i="161" s="1"/>
  <c r="N23" i="5"/>
  <c r="M44" i="161" s="1"/>
  <c r="D30" i="5"/>
  <c r="E30" i="5"/>
  <c r="F30" i="5"/>
  <c r="G30" i="5"/>
  <c r="H30" i="5"/>
  <c r="I30" i="5"/>
  <c r="J30" i="5"/>
  <c r="J34" i="5" s="1"/>
  <c r="K30" i="5"/>
  <c r="L30" i="5"/>
  <c r="M30" i="5"/>
  <c r="N30" i="5"/>
  <c r="I34" i="5"/>
  <c r="H40" i="5"/>
  <c r="H43" i="5" s="1"/>
  <c r="I40" i="5"/>
  <c r="J40" i="5"/>
  <c r="J43" i="5" s="1"/>
  <c r="K40" i="5"/>
  <c r="K43" i="5" s="1"/>
  <c r="L40" i="5"/>
  <c r="L43" i="5" s="1"/>
  <c r="M40" i="5"/>
  <c r="M43" i="5" s="1"/>
  <c r="I43" i="5"/>
  <c r="B51" i="5"/>
  <c r="L51" i="5"/>
  <c r="K6" i="161" s="1"/>
  <c r="B52" i="5"/>
  <c r="E52" i="5"/>
  <c r="F52" i="5"/>
  <c r="G52" i="5"/>
  <c r="H52" i="5"/>
  <c r="I52" i="5"/>
  <c r="J52" i="5"/>
  <c r="K52" i="5"/>
  <c r="L52" i="5"/>
  <c r="M52" i="5"/>
  <c r="N52" i="5"/>
  <c r="B53" i="5"/>
  <c r="E53" i="5"/>
  <c r="F53" i="5"/>
  <c r="G53" i="5"/>
  <c r="H53" i="5"/>
  <c r="I53" i="5"/>
  <c r="J53" i="5"/>
  <c r="I13" i="163" s="1"/>
  <c r="K53" i="5"/>
  <c r="J13" i="163" s="1"/>
  <c r="L53" i="5"/>
  <c r="M53" i="5"/>
  <c r="N53" i="5"/>
  <c r="B54" i="5"/>
  <c r="E54" i="5"/>
  <c r="D16" i="163" s="1"/>
  <c r="F54" i="5"/>
  <c r="E16" i="163" s="1"/>
  <c r="G54" i="5"/>
  <c r="F16" i="163" s="1"/>
  <c r="H54" i="5"/>
  <c r="G16" i="163" s="1"/>
  <c r="I54" i="5"/>
  <c r="H16" i="163" s="1"/>
  <c r="J54" i="5"/>
  <c r="I16" i="163" s="1"/>
  <c r="K54" i="5"/>
  <c r="J16" i="163" s="1"/>
  <c r="L54" i="5"/>
  <c r="K16" i="163" s="1"/>
  <c r="M54" i="5"/>
  <c r="N54" i="5"/>
  <c r="B55" i="5"/>
  <c r="E55" i="5"/>
  <c r="F55" i="5"/>
  <c r="E19" i="163" s="1"/>
  <c r="G55" i="5"/>
  <c r="H55" i="5"/>
  <c r="I55" i="5"/>
  <c r="H19" i="163" s="1"/>
  <c r="J55" i="5"/>
  <c r="I19" i="163" s="1"/>
  <c r="K55" i="5"/>
  <c r="J19" i="163" s="1"/>
  <c r="L55" i="5"/>
  <c r="K19" i="163" s="1"/>
  <c r="M55" i="5"/>
  <c r="L19" i="163" s="1"/>
  <c r="N55" i="5"/>
  <c r="M19" i="163" s="1"/>
  <c r="B56" i="5"/>
  <c r="E56" i="5"/>
  <c r="D22" i="163" s="1"/>
  <c r="F56" i="5"/>
  <c r="E22" i="163" s="1"/>
  <c r="G56" i="5"/>
  <c r="F22" i="163" s="1"/>
  <c r="H56" i="5"/>
  <c r="G22" i="163" s="1"/>
  <c r="I56" i="5"/>
  <c r="H22" i="163" s="1"/>
  <c r="J56" i="5"/>
  <c r="I22" i="163" s="1"/>
  <c r="K56" i="5"/>
  <c r="J22" i="163" s="1"/>
  <c r="L56" i="5"/>
  <c r="K22" i="163" s="1"/>
  <c r="M56" i="5"/>
  <c r="L22" i="163" s="1"/>
  <c r="N56" i="5"/>
  <c r="M22" i="163" s="1"/>
  <c r="B60" i="5"/>
  <c r="K60" i="5"/>
  <c r="J10" i="163" s="1"/>
  <c r="K61" i="5"/>
  <c r="J46" i="161" s="1"/>
  <c r="L61" i="5"/>
  <c r="K46" i="161" s="1"/>
  <c r="B70" i="5"/>
  <c r="B71" i="5"/>
  <c r="O73" i="5"/>
  <c r="O74" i="5"/>
  <c r="O75" i="5"/>
  <c r="O76" i="5"/>
  <c r="O77" i="5"/>
  <c r="O78" i="5"/>
  <c r="O79" i="5"/>
  <c r="O80" i="5"/>
  <c r="O81" i="5"/>
  <c r="O82" i="5"/>
  <c r="O83" i="5"/>
  <c r="O84" i="5"/>
  <c r="O85" i="5"/>
  <c r="D87" i="5"/>
  <c r="E87" i="5"/>
  <c r="F87" i="5"/>
  <c r="G87" i="5"/>
  <c r="H87" i="5"/>
  <c r="I87" i="5"/>
  <c r="J87" i="5"/>
  <c r="K87" i="5"/>
  <c r="K103" i="5" s="1"/>
  <c r="L87" i="5"/>
  <c r="L103" i="5" s="1"/>
  <c r="L134" i="5" s="1"/>
  <c r="L136" i="5" s="1"/>
  <c r="M87" i="5"/>
  <c r="M103" i="5" s="1"/>
  <c r="N87" i="5"/>
  <c r="O89" i="5"/>
  <c r="O90" i="5"/>
  <c r="O91" i="5"/>
  <c r="O92" i="5"/>
  <c r="O93" i="5"/>
  <c r="O94" i="5"/>
  <c r="O95" i="5"/>
  <c r="O96" i="5"/>
  <c r="O97" i="5"/>
  <c r="O98" i="5"/>
  <c r="O99" i="5"/>
  <c r="D101" i="5"/>
  <c r="D103" i="5" s="1"/>
  <c r="D134" i="5" s="1"/>
  <c r="E101" i="5"/>
  <c r="F101" i="5"/>
  <c r="G101" i="5"/>
  <c r="H101" i="5"/>
  <c r="I101" i="5"/>
  <c r="J101" i="5"/>
  <c r="K101" i="5"/>
  <c r="L101" i="5"/>
  <c r="M101" i="5"/>
  <c r="N101" i="5"/>
  <c r="O101" i="5"/>
  <c r="E103" i="5"/>
  <c r="F103" i="5"/>
  <c r="G103" i="5"/>
  <c r="H103" i="5"/>
  <c r="I103" i="5"/>
  <c r="J103" i="5"/>
  <c r="J134" i="5" s="1"/>
  <c r="J136" i="5" s="1"/>
  <c r="N103" i="5"/>
  <c r="O106" i="5"/>
  <c r="O107" i="5"/>
  <c r="O108" i="5"/>
  <c r="O109" i="5"/>
  <c r="O110" i="5"/>
  <c r="O111" i="5"/>
  <c r="O112" i="5"/>
  <c r="O113" i="5"/>
  <c r="O114" i="5"/>
  <c r="O115" i="5"/>
  <c r="O116" i="5"/>
  <c r="D118" i="5"/>
  <c r="E118" i="5"/>
  <c r="F118" i="5"/>
  <c r="G118" i="5"/>
  <c r="H118" i="5"/>
  <c r="I118" i="5"/>
  <c r="J118" i="5"/>
  <c r="K118" i="5"/>
  <c r="L118" i="5"/>
  <c r="M118" i="5"/>
  <c r="N118" i="5"/>
  <c r="O118" i="5"/>
  <c r="O120" i="5"/>
  <c r="O121" i="5"/>
  <c r="O122" i="5"/>
  <c r="O123" i="5"/>
  <c r="O124" i="5"/>
  <c r="O125" i="5"/>
  <c r="O126" i="5"/>
  <c r="O127" i="5"/>
  <c r="O128" i="5"/>
  <c r="D130" i="5"/>
  <c r="D132" i="5" s="1"/>
  <c r="E130" i="5"/>
  <c r="E132" i="5" s="1"/>
  <c r="F130" i="5"/>
  <c r="F132" i="5" s="1"/>
  <c r="G130" i="5"/>
  <c r="G132" i="5" s="1"/>
  <c r="H130" i="5"/>
  <c r="H132" i="5" s="1"/>
  <c r="I130" i="5"/>
  <c r="I132" i="5" s="1"/>
  <c r="J130" i="5"/>
  <c r="J132" i="5" s="1"/>
  <c r="K130" i="5"/>
  <c r="L130" i="5"/>
  <c r="L132" i="5" s="1"/>
  <c r="M130" i="5"/>
  <c r="M132" i="5" s="1"/>
  <c r="N130" i="5"/>
  <c r="K132" i="5"/>
  <c r="M134" i="5"/>
  <c r="M136" i="5" s="1"/>
  <c r="D136" i="5"/>
  <c r="O141" i="5"/>
  <c r="O142" i="5"/>
  <c r="D143" i="5"/>
  <c r="C168" i="161" s="1"/>
  <c r="E143" i="5"/>
  <c r="D168" i="161" s="1"/>
  <c r="F143" i="5"/>
  <c r="E168" i="161" s="1"/>
  <c r="G143" i="5"/>
  <c r="F168" i="161" s="1"/>
  <c r="H143" i="5"/>
  <c r="G168" i="161" s="1"/>
  <c r="I143" i="5"/>
  <c r="H168" i="161" s="1"/>
  <c r="J143" i="5"/>
  <c r="I168" i="161" s="1"/>
  <c r="K143" i="5"/>
  <c r="J168" i="161" s="1"/>
  <c r="J170" i="161" s="1"/>
  <c r="L143" i="5"/>
  <c r="K168" i="161" s="1"/>
  <c r="K170" i="161" s="1"/>
  <c r="M143" i="5"/>
  <c r="L168" i="161" s="1"/>
  <c r="N143" i="5"/>
  <c r="M168" i="161" s="1"/>
  <c r="O143" i="5"/>
  <c r="K145" i="5"/>
  <c r="N145" i="5"/>
  <c r="B150" i="5"/>
  <c r="D151" i="5"/>
  <c r="D184" i="5"/>
  <c r="E151" i="5" s="1"/>
  <c r="E184" i="5"/>
  <c r="F184" i="5"/>
  <c r="F151" i="5"/>
  <c r="G184" i="5"/>
  <c r="G151" i="5"/>
  <c r="H184" i="5"/>
  <c r="H151" i="5"/>
  <c r="H152" i="5" s="1"/>
  <c r="H154" i="5" s="1"/>
  <c r="I184" i="5"/>
  <c r="I151" i="5"/>
  <c r="I152" i="5" s="1"/>
  <c r="I154" i="5" s="1"/>
  <c r="J184" i="5"/>
  <c r="K151" i="5" s="1"/>
  <c r="K152" i="5" s="1"/>
  <c r="K154" i="5" s="1"/>
  <c r="J151" i="5"/>
  <c r="J152" i="5" s="1"/>
  <c r="J154" i="5" s="1"/>
  <c r="K184" i="5"/>
  <c r="L184" i="5"/>
  <c r="M184" i="5"/>
  <c r="M151" i="5"/>
  <c r="M152" i="5" s="1"/>
  <c r="M154" i="5" s="1"/>
  <c r="N184" i="5"/>
  <c r="N151" i="5"/>
  <c r="N152" i="5" s="1"/>
  <c r="D152" i="5"/>
  <c r="E152" i="5"/>
  <c r="F152" i="5"/>
  <c r="G152" i="5"/>
  <c r="B159" i="5"/>
  <c r="D160" i="5"/>
  <c r="E160" i="5"/>
  <c r="F160" i="5"/>
  <c r="G160" i="5"/>
  <c r="H160" i="5"/>
  <c r="I160" i="5"/>
  <c r="I162" i="5" s="1"/>
  <c r="H30" i="163" s="1"/>
  <c r="J160" i="5"/>
  <c r="K160" i="5"/>
  <c r="L160" i="5"/>
  <c r="L162" i="5" s="1"/>
  <c r="M160" i="5"/>
  <c r="N160" i="5"/>
  <c r="D161" i="5"/>
  <c r="E161" i="5"/>
  <c r="F161" i="5"/>
  <c r="G161" i="5"/>
  <c r="H161" i="5"/>
  <c r="I161" i="5"/>
  <c r="J161" i="5"/>
  <c r="J192" i="5" s="1"/>
  <c r="J226" i="5" s="1"/>
  <c r="I37" i="163" s="1"/>
  <c r="K161" i="5"/>
  <c r="K192" i="5" s="1"/>
  <c r="K226" i="5" s="1"/>
  <c r="J37" i="163" s="1"/>
  <c r="L161" i="5"/>
  <c r="L192" i="5" s="1"/>
  <c r="L226" i="5" s="1"/>
  <c r="M161" i="5"/>
  <c r="M192" i="5" s="1"/>
  <c r="M226" i="5" s="1"/>
  <c r="L37" i="163" s="1"/>
  <c r="N161" i="5"/>
  <c r="N192" i="5" s="1"/>
  <c r="O161" i="5"/>
  <c r="D162" i="5"/>
  <c r="M162" i="5"/>
  <c r="M164" i="5" s="1"/>
  <c r="L128" i="161" s="1"/>
  <c r="N162" i="5"/>
  <c r="D101" i="6" s="1"/>
  <c r="D58" i="6" s="1"/>
  <c r="N164" i="5"/>
  <c r="M128" i="161" s="1"/>
  <c r="B170" i="5"/>
  <c r="D171" i="5"/>
  <c r="D173" i="5" s="1"/>
  <c r="E171" i="5"/>
  <c r="E173" i="5" s="1"/>
  <c r="F171" i="5"/>
  <c r="F216" i="5" s="1"/>
  <c r="G171" i="5"/>
  <c r="G216" i="5" s="1"/>
  <c r="H171" i="5"/>
  <c r="H216" i="5" s="1"/>
  <c r="I171" i="5"/>
  <c r="J171" i="5"/>
  <c r="K171" i="5"/>
  <c r="L171" i="5"/>
  <c r="M171" i="5"/>
  <c r="M197" i="5" s="1"/>
  <c r="N171" i="5"/>
  <c r="O171" i="5" s="1"/>
  <c r="D172" i="5"/>
  <c r="E172" i="5"/>
  <c r="F172" i="5"/>
  <c r="G172" i="5"/>
  <c r="H172" i="5"/>
  <c r="H198" i="5" s="1"/>
  <c r="I172" i="5"/>
  <c r="I198" i="5" s="1"/>
  <c r="J172" i="5"/>
  <c r="J198" i="5" s="1"/>
  <c r="K172" i="5"/>
  <c r="K198" i="5" s="1"/>
  <c r="L172" i="5"/>
  <c r="L198" i="5" s="1"/>
  <c r="M172" i="5"/>
  <c r="M198" i="5" s="1"/>
  <c r="N172" i="5"/>
  <c r="N198" i="5" s="1"/>
  <c r="O172" i="5"/>
  <c r="F173" i="5"/>
  <c r="G173" i="5"/>
  <c r="H173" i="5"/>
  <c r="I173" i="5"/>
  <c r="J173" i="5"/>
  <c r="K173" i="5"/>
  <c r="B176" i="5"/>
  <c r="D177" i="5"/>
  <c r="E177" i="5"/>
  <c r="F177" i="5"/>
  <c r="G177" i="5"/>
  <c r="H177" i="5"/>
  <c r="I177" i="5"/>
  <c r="J177" i="5"/>
  <c r="K177" i="5"/>
  <c r="K201" i="5" s="1"/>
  <c r="L177" i="5"/>
  <c r="M177" i="5"/>
  <c r="N177" i="5"/>
  <c r="O177" i="5"/>
  <c r="D178" i="5"/>
  <c r="E178" i="5"/>
  <c r="F178" i="5"/>
  <c r="G178" i="5"/>
  <c r="H178" i="5"/>
  <c r="I178" i="5"/>
  <c r="J178" i="5"/>
  <c r="J202" i="5" s="1"/>
  <c r="K178" i="5"/>
  <c r="K202" i="5" s="1"/>
  <c r="K203" i="5" s="1"/>
  <c r="L178" i="5"/>
  <c r="L179" i="5" s="1"/>
  <c r="M178" i="5"/>
  <c r="M179" i="5" s="1"/>
  <c r="N178" i="5"/>
  <c r="N202" i="5" s="1"/>
  <c r="K179" i="5"/>
  <c r="B181" i="5"/>
  <c r="B182" i="5"/>
  <c r="D185" i="5"/>
  <c r="E185" i="5"/>
  <c r="F185" i="5"/>
  <c r="G185" i="5"/>
  <c r="H185" i="5"/>
  <c r="I185" i="5"/>
  <c r="J185" i="5"/>
  <c r="K185" i="5"/>
  <c r="L185" i="5"/>
  <c r="M185" i="5"/>
  <c r="N185" i="5"/>
  <c r="O185" i="5"/>
  <c r="D188" i="5"/>
  <c r="E188" i="5"/>
  <c r="F188" i="5"/>
  <c r="G188" i="5"/>
  <c r="H188" i="5"/>
  <c r="I188" i="5"/>
  <c r="J188" i="5"/>
  <c r="K188" i="5"/>
  <c r="L188" i="5"/>
  <c r="M188" i="5"/>
  <c r="N188" i="5"/>
  <c r="D189" i="5"/>
  <c r="D221" i="5" s="1"/>
  <c r="C34" i="163" s="1"/>
  <c r="E189" i="5"/>
  <c r="E221" i="5" s="1"/>
  <c r="D34" i="163" s="1"/>
  <c r="F189" i="5"/>
  <c r="F221" i="5" s="1"/>
  <c r="E34" i="163" s="1"/>
  <c r="G189" i="5"/>
  <c r="G221" i="5" s="1"/>
  <c r="H189" i="5"/>
  <c r="H221" i="5" s="1"/>
  <c r="I189" i="5"/>
  <c r="I221" i="5" s="1"/>
  <c r="H34" i="163" s="1"/>
  <c r="J189" i="5"/>
  <c r="K189" i="5"/>
  <c r="O189" i="5" s="1"/>
  <c r="L189" i="5"/>
  <c r="M189" i="5"/>
  <c r="N189" i="5"/>
  <c r="D190" i="5"/>
  <c r="E190" i="5"/>
  <c r="F190" i="5"/>
  <c r="G190" i="5"/>
  <c r="H190" i="5"/>
  <c r="I190" i="5"/>
  <c r="J190" i="5"/>
  <c r="K190" i="5"/>
  <c r="L190" i="5"/>
  <c r="M190" i="5"/>
  <c r="N190" i="5"/>
  <c r="O190" i="5"/>
  <c r="N191" i="5"/>
  <c r="N225" i="5" s="1"/>
  <c r="M36" i="163" s="1"/>
  <c r="D192" i="5"/>
  <c r="D226" i="5" s="1"/>
  <c r="C37" i="163" s="1"/>
  <c r="E192" i="5"/>
  <c r="E226" i="5" s="1"/>
  <c r="D37" i="163" s="1"/>
  <c r="F192" i="5"/>
  <c r="F226" i="5" s="1"/>
  <c r="E37" i="163" s="1"/>
  <c r="G192" i="5"/>
  <c r="G226" i="5" s="1"/>
  <c r="F37" i="163" s="1"/>
  <c r="H192" i="5"/>
  <c r="H226" i="5" s="1"/>
  <c r="G37" i="163" s="1"/>
  <c r="I192" i="5"/>
  <c r="D197" i="5"/>
  <c r="E197" i="5"/>
  <c r="F197" i="5"/>
  <c r="G197" i="5"/>
  <c r="H197" i="5"/>
  <c r="K197" i="5"/>
  <c r="L197" i="5"/>
  <c r="N197" i="5"/>
  <c r="D198" i="5"/>
  <c r="E198" i="5"/>
  <c r="F198" i="5"/>
  <c r="G198" i="5"/>
  <c r="K199" i="5"/>
  <c r="L199" i="5"/>
  <c r="M199" i="5"/>
  <c r="N199" i="5"/>
  <c r="O199" i="5" s="1"/>
  <c r="L201" i="5"/>
  <c r="M201" i="5"/>
  <c r="N201" i="5"/>
  <c r="O201" i="5"/>
  <c r="D202" i="5"/>
  <c r="E202" i="5"/>
  <c r="F202" i="5"/>
  <c r="G202" i="5"/>
  <c r="H202" i="5"/>
  <c r="I202" i="5"/>
  <c r="I215" i="5"/>
  <c r="J215" i="5"/>
  <c r="D216" i="5"/>
  <c r="E216" i="5"/>
  <c r="K216" i="5"/>
  <c r="L216" i="5"/>
  <c r="M216" i="5"/>
  <c r="N216" i="5"/>
  <c r="O216" i="5"/>
  <c r="D220" i="5"/>
  <c r="C33" i="163" s="1"/>
  <c r="E220" i="5"/>
  <c r="D33" i="163" s="1"/>
  <c r="F220" i="5"/>
  <c r="E33" i="163" s="1"/>
  <c r="G220" i="5"/>
  <c r="H220" i="5"/>
  <c r="I220" i="5"/>
  <c r="J220" i="5"/>
  <c r="K220" i="5"/>
  <c r="L220" i="5"/>
  <c r="M220" i="5"/>
  <c r="L33" i="163" s="1"/>
  <c r="J221" i="5"/>
  <c r="I34" i="163" s="1"/>
  <c r="K221" i="5"/>
  <c r="J34" i="163" s="1"/>
  <c r="L221" i="5"/>
  <c r="K34" i="163" s="1"/>
  <c r="M221" i="5"/>
  <c r="L34" i="163" s="1"/>
  <c r="B225" i="5"/>
  <c r="B226" i="5"/>
  <c r="B37" i="163" s="1"/>
  <c r="D4" i="4"/>
  <c r="I29" i="7" l="1"/>
  <c r="C27" i="17" s="1"/>
  <c r="C28" i="17" s="1"/>
  <c r="F66" i="7"/>
  <c r="F62" i="7"/>
  <c r="F63" i="7"/>
  <c r="F64" i="7"/>
  <c r="F65" i="7"/>
  <c r="F60" i="7"/>
  <c r="F61" i="7"/>
  <c r="K37" i="163"/>
  <c r="O226" i="5"/>
  <c r="J6" i="161"/>
  <c r="J4" i="163"/>
  <c r="L155" i="5"/>
  <c r="K46" i="5"/>
  <c r="M155" i="5"/>
  <c r="M46" i="5"/>
  <c r="L46" i="5"/>
  <c r="J46" i="5"/>
  <c r="G46" i="161"/>
  <c r="G7" i="163"/>
  <c r="C46" i="161"/>
  <c r="C7" i="163"/>
  <c r="O169" i="161"/>
  <c r="P27" i="163"/>
  <c r="P28" i="163" s="1"/>
  <c r="K155" i="5"/>
  <c r="O202" i="5"/>
  <c r="E46" i="161"/>
  <c r="E7" i="163"/>
  <c r="C29" i="17"/>
  <c r="J155" i="5"/>
  <c r="D46" i="161"/>
  <c r="D7" i="163"/>
  <c r="K126" i="161"/>
  <c r="M167" i="5"/>
  <c r="T86" i="161"/>
  <c r="U25" i="163"/>
  <c r="R86" i="161"/>
  <c r="S25" i="163"/>
  <c r="H4" i="161"/>
  <c r="H2" i="163"/>
  <c r="I60" i="5"/>
  <c r="H10" i="163" s="1"/>
  <c r="I145" i="5"/>
  <c r="I62" i="5"/>
  <c r="L219" i="5"/>
  <c r="L193" i="5"/>
  <c r="L195" i="5" s="1"/>
  <c r="L205" i="5" s="1"/>
  <c r="L214" i="5" s="1"/>
  <c r="H162" i="5"/>
  <c r="H191" i="5"/>
  <c r="H225" i="5" s="1"/>
  <c r="G36" i="163" s="1"/>
  <c r="V5" i="161"/>
  <c r="L111" i="6"/>
  <c r="W36" i="163" s="1"/>
  <c r="L112" i="6"/>
  <c r="W37" i="163" s="1"/>
  <c r="L105" i="6"/>
  <c r="G162" i="5"/>
  <c r="G191" i="5"/>
  <c r="G225" i="5" s="1"/>
  <c r="F36" i="163" s="1"/>
  <c r="U5" i="161"/>
  <c r="U170" i="161" s="1"/>
  <c r="K112" i="6"/>
  <c r="V37" i="163" s="1"/>
  <c r="K111" i="6"/>
  <c r="V36" i="163" s="1"/>
  <c r="K105" i="6"/>
  <c r="F162" i="5"/>
  <c r="F191" i="5"/>
  <c r="F225" i="5" s="1"/>
  <c r="E36" i="163" s="1"/>
  <c r="I191" i="5"/>
  <c r="I225" i="5" s="1"/>
  <c r="H36" i="163" s="1"/>
  <c r="H134" i="5"/>
  <c r="H136" i="5" s="1"/>
  <c r="M34" i="5"/>
  <c r="M62" i="5"/>
  <c r="J111" i="6"/>
  <c r="U36" i="163" s="1"/>
  <c r="L71" i="6"/>
  <c r="E28" i="7"/>
  <c r="H211" i="5"/>
  <c r="G29" i="163" s="1"/>
  <c r="D191" i="5"/>
  <c r="D225" i="5" s="1"/>
  <c r="C36" i="163" s="1"/>
  <c r="G134" i="5"/>
  <c r="G136" i="5" s="1"/>
  <c r="L34" i="5"/>
  <c r="L62" i="5"/>
  <c r="I111" i="6"/>
  <c r="T36" i="163" s="1"/>
  <c r="I71" i="6"/>
  <c r="E193" i="5"/>
  <c r="E195" i="5" s="1"/>
  <c r="L164" i="5"/>
  <c r="F134" i="5"/>
  <c r="F136" i="5" s="1"/>
  <c r="K34" i="5"/>
  <c r="K62" i="5"/>
  <c r="M43" i="6"/>
  <c r="F211" i="5"/>
  <c r="E29" i="163" s="1"/>
  <c r="N193" i="5"/>
  <c r="D193" i="5"/>
  <c r="D195" i="5" s="1"/>
  <c r="I164" i="5"/>
  <c r="E134" i="5"/>
  <c r="E136" i="5" s="1"/>
  <c r="J61" i="5"/>
  <c r="I84" i="161"/>
  <c r="I23" i="163"/>
  <c r="J63" i="5"/>
  <c r="L43" i="6"/>
  <c r="E211" i="5"/>
  <c r="D29" i="163" s="1"/>
  <c r="I61" i="5"/>
  <c r="K43" i="6"/>
  <c r="K33" i="163"/>
  <c r="D211" i="5"/>
  <c r="C29" i="163" s="1"/>
  <c r="H34" i="5"/>
  <c r="H62" i="5"/>
  <c r="Q31" i="163"/>
  <c r="G101" i="6"/>
  <c r="G58" i="6" s="1"/>
  <c r="J51" i="5"/>
  <c r="I28" i="7"/>
  <c r="I30" i="7"/>
  <c r="M219" i="5"/>
  <c r="M193" i="5"/>
  <c r="M195" i="5" s="1"/>
  <c r="M205" i="5" s="1"/>
  <c r="N203" i="5"/>
  <c r="O203" i="5" s="1"/>
  <c r="K29" i="7"/>
  <c r="C14" i="17" s="1"/>
  <c r="C15" i="17" s="1"/>
  <c r="C19" i="17" s="1"/>
  <c r="I219" i="5"/>
  <c r="P31" i="163"/>
  <c r="F101" i="6"/>
  <c r="F58" i="6" s="1"/>
  <c r="H201" i="5"/>
  <c r="H203" i="5" s="1"/>
  <c r="H179" i="5"/>
  <c r="G4" i="161"/>
  <c r="G2" i="163"/>
  <c r="H60" i="5"/>
  <c r="G10" i="163" s="1"/>
  <c r="H145" i="5"/>
  <c r="E35" i="6"/>
  <c r="E53" i="6"/>
  <c r="C4" i="161"/>
  <c r="D51" i="5"/>
  <c r="C2" i="163"/>
  <c r="D60" i="5"/>
  <c r="C10" i="163" s="1"/>
  <c r="K51" i="6"/>
  <c r="V10" i="163" s="1"/>
  <c r="I51" i="5"/>
  <c r="F51" i="5"/>
  <c r="J229" i="5"/>
  <c r="G199" i="5"/>
  <c r="G154" i="5"/>
  <c r="I155" i="5" s="1"/>
  <c r="H219" i="5"/>
  <c r="G32" i="163" s="1"/>
  <c r="E154" i="5"/>
  <c r="B7" i="163"/>
  <c r="B6" i="163"/>
  <c r="Y4" i="163"/>
  <c r="I46" i="5"/>
  <c r="H46" i="5"/>
  <c r="I134" i="5"/>
  <c r="I136" i="5" s="1"/>
  <c r="D40" i="5"/>
  <c r="D43" i="5" s="1"/>
  <c r="D62" i="5"/>
  <c r="D34" i="5"/>
  <c r="I179" i="5"/>
  <c r="I201" i="5"/>
  <c r="I203" i="5" s="1"/>
  <c r="N154" i="5"/>
  <c r="O130" i="5"/>
  <c r="N132" i="5"/>
  <c r="N35" i="6"/>
  <c r="N53" i="6"/>
  <c r="N45" i="161"/>
  <c r="O6" i="163"/>
  <c r="B11" i="163"/>
  <c r="B13" i="163"/>
  <c r="K162" i="5"/>
  <c r="O160" i="5"/>
  <c r="K191" i="5"/>
  <c r="S86" i="161"/>
  <c r="T25" i="163"/>
  <c r="F4" i="161"/>
  <c r="F170" i="161" s="1"/>
  <c r="G145" i="5"/>
  <c r="F2" i="163"/>
  <c r="G60" i="5"/>
  <c r="F10" i="163" s="1"/>
  <c r="F28" i="7"/>
  <c r="M126" i="161"/>
  <c r="N127" i="161" s="1"/>
  <c r="O162" i="5"/>
  <c r="M30" i="163"/>
  <c r="G61" i="5"/>
  <c r="F62" i="5"/>
  <c r="F40" i="5"/>
  <c r="F43" i="5" s="1"/>
  <c r="F34" i="5"/>
  <c r="O197" i="5"/>
  <c r="J197" i="5"/>
  <c r="J216" i="5"/>
  <c r="T85" i="161"/>
  <c r="U24" i="163"/>
  <c r="J38" i="6"/>
  <c r="G219" i="5"/>
  <c r="F32" i="163" s="1"/>
  <c r="F201" i="5"/>
  <c r="F203" i="5" s="1"/>
  <c r="F179" i="5"/>
  <c r="E201" i="5"/>
  <c r="E203" i="5" s="1"/>
  <c r="E179" i="5"/>
  <c r="D219" i="5"/>
  <c r="C32" i="163" s="1"/>
  <c r="M202" i="5"/>
  <c r="I226" i="5"/>
  <c r="H37" i="163" s="1"/>
  <c r="E145" i="5"/>
  <c r="M35" i="6"/>
  <c r="M53" i="6"/>
  <c r="J162" i="5"/>
  <c r="J191" i="5"/>
  <c r="J225" i="5" s="1"/>
  <c r="I36" i="163" s="1"/>
  <c r="E30" i="7"/>
  <c r="D35" i="6"/>
  <c r="D53" i="6"/>
  <c r="V3" i="163"/>
  <c r="V28" i="163" s="1"/>
  <c r="T5" i="161"/>
  <c r="T170" i="161" s="1"/>
  <c r="J112" i="6"/>
  <c r="U37" i="163" s="1"/>
  <c r="J52" i="6"/>
  <c r="J43" i="6"/>
  <c r="L191" i="5"/>
  <c r="L225" i="5" s="1"/>
  <c r="L126" i="161"/>
  <c r="N167" i="5"/>
  <c r="L30" i="163"/>
  <c r="C126" i="161"/>
  <c r="D167" i="5"/>
  <c r="C30" i="163"/>
  <c r="D164" i="5"/>
  <c r="E40" i="5"/>
  <c r="E43" i="5" s="1"/>
  <c r="E62" i="5"/>
  <c r="E34" i="5"/>
  <c r="B24" i="163"/>
  <c r="B25" i="163"/>
  <c r="H51" i="5"/>
  <c r="J105" i="6"/>
  <c r="O192" i="5"/>
  <c r="N226" i="5"/>
  <c r="M37" i="163" s="1"/>
  <c r="G51" i="5"/>
  <c r="B12" i="163"/>
  <c r="J179" i="5"/>
  <c r="J201" i="5"/>
  <c r="J203" i="5" s="1"/>
  <c r="I229" i="5"/>
  <c r="U85" i="161"/>
  <c r="V24" i="163"/>
  <c r="K38" i="6"/>
  <c r="K54" i="6"/>
  <c r="D154" i="5"/>
  <c r="O184" i="5"/>
  <c r="N195" i="5"/>
  <c r="G34" i="163"/>
  <c r="D145" i="5"/>
  <c r="L53" i="6"/>
  <c r="I4" i="161"/>
  <c r="J211" i="5"/>
  <c r="I29" i="163" s="1"/>
  <c r="I2" i="163"/>
  <c r="J60" i="5"/>
  <c r="I10" i="163" s="1"/>
  <c r="J145" i="5"/>
  <c r="J62" i="5"/>
  <c r="W3" i="163"/>
  <c r="O178" i="5"/>
  <c r="N179" i="5"/>
  <c r="E4" i="161"/>
  <c r="F145" i="5"/>
  <c r="E2" i="163"/>
  <c r="F60" i="5"/>
  <c r="E10" i="163" s="1"/>
  <c r="E222" i="5"/>
  <c r="D35" i="163" s="1"/>
  <c r="M191" i="5"/>
  <c r="M225" i="5" s="1"/>
  <c r="L36" i="163" s="1"/>
  <c r="D4" i="161"/>
  <c r="D2" i="163"/>
  <c r="E51" i="5"/>
  <c r="E60" i="5"/>
  <c r="D10" i="163" s="1"/>
  <c r="S5" i="161"/>
  <c r="S170" i="161" s="1"/>
  <c r="I112" i="6"/>
  <c r="T37" i="163" s="1"/>
  <c r="I51" i="6"/>
  <c r="T10" i="163" s="1"/>
  <c r="I52" i="6"/>
  <c r="T3" i="163"/>
  <c r="T28" i="163" s="1"/>
  <c r="I43" i="6"/>
  <c r="I211" i="5"/>
  <c r="H29" i="163" s="1"/>
  <c r="G34" i="5"/>
  <c r="G40" i="5"/>
  <c r="G43" i="5" s="1"/>
  <c r="G62" i="5"/>
  <c r="J51" i="6"/>
  <c r="U10" i="163" s="1"/>
  <c r="K28" i="7"/>
  <c r="J23" i="7"/>
  <c r="K30" i="7"/>
  <c r="M108" i="6"/>
  <c r="H199" i="5"/>
  <c r="G20" i="20"/>
  <c r="H28" i="7"/>
  <c r="H29" i="7"/>
  <c r="H30" i="7"/>
  <c r="V85" i="161"/>
  <c r="W24" i="163"/>
  <c r="L38" i="6"/>
  <c r="L54" i="6"/>
  <c r="K30" i="163"/>
  <c r="F199" i="5"/>
  <c r="F154" i="5"/>
  <c r="H155" i="5" s="1"/>
  <c r="E199" i="5"/>
  <c r="G201" i="5"/>
  <c r="G203" i="5" s="1"/>
  <c r="G179" i="5"/>
  <c r="E219" i="5"/>
  <c r="D32" i="163" s="1"/>
  <c r="L202" i="5"/>
  <c r="L203" i="5" s="1"/>
  <c r="M4" i="161"/>
  <c r="N60" i="5"/>
  <c r="M10" i="163" s="1"/>
  <c r="N211" i="5"/>
  <c r="M29" i="163" s="1"/>
  <c r="M2" i="163"/>
  <c r="Z3" i="163" s="1"/>
  <c r="N61" i="5"/>
  <c r="N51" i="5"/>
  <c r="N169" i="161"/>
  <c r="O27" i="163"/>
  <c r="O28" i="163" s="1"/>
  <c r="K53" i="6"/>
  <c r="I101" i="6"/>
  <c r="I58" i="6" s="1"/>
  <c r="S31" i="163"/>
  <c r="H126" i="161"/>
  <c r="J167" i="5"/>
  <c r="E162" i="5"/>
  <c r="E167" i="5" s="1"/>
  <c r="E191" i="5"/>
  <c r="E225" i="5" s="1"/>
  <c r="D36" i="163" s="1"/>
  <c r="K134" i="5"/>
  <c r="K136" i="5" s="1"/>
  <c r="O103" i="5"/>
  <c r="N34" i="5"/>
  <c r="N62" i="5"/>
  <c r="N40" i="5"/>
  <c r="N43" i="5" s="1"/>
  <c r="L51" i="6"/>
  <c r="W10" i="163" s="1"/>
  <c r="I105" i="6"/>
  <c r="I197" i="5"/>
  <c r="I216" i="5"/>
  <c r="F219" i="5"/>
  <c r="O151" i="5"/>
  <c r="D179" i="5"/>
  <c r="D201" i="5"/>
  <c r="D203" i="5" s="1"/>
  <c r="F34" i="163"/>
  <c r="G222" i="5"/>
  <c r="F35" i="163" s="1"/>
  <c r="L4" i="161"/>
  <c r="M211" i="5"/>
  <c r="L29" i="163" s="1"/>
  <c r="M145" i="5"/>
  <c r="L28" i="163" s="1"/>
  <c r="L2" i="163"/>
  <c r="M60" i="5"/>
  <c r="L10" i="163" s="1"/>
  <c r="M61" i="5"/>
  <c r="M51" i="5"/>
  <c r="D70" i="6"/>
  <c r="D71" i="6"/>
  <c r="J53" i="6"/>
  <c r="M203" i="5"/>
  <c r="K219" i="5"/>
  <c r="O188" i="5"/>
  <c r="Y32" i="163"/>
  <c r="Y35" i="163" s="1"/>
  <c r="N108" i="6"/>
  <c r="N173" i="5"/>
  <c r="E51" i="6"/>
  <c r="P10" i="163" s="1"/>
  <c r="R85" i="161"/>
  <c r="H38" i="6"/>
  <c r="M173" i="5"/>
  <c r="O87" i="5"/>
  <c r="R6" i="161"/>
  <c r="S4" i="163"/>
  <c r="G53" i="6"/>
  <c r="G35" i="6"/>
  <c r="X5" i="161"/>
  <c r="Y3" i="163"/>
  <c r="L173" i="5"/>
  <c r="K211" i="5"/>
  <c r="J29" i="163" s="1"/>
  <c r="L151" i="5"/>
  <c r="L152" i="5" s="1"/>
  <c r="L154" i="5" s="1"/>
  <c r="B18" i="19"/>
  <c r="B36" i="20"/>
  <c r="B50" i="20"/>
  <c r="B16" i="6"/>
  <c r="B140" i="5"/>
  <c r="H108" i="6"/>
  <c r="F53" i="6"/>
  <c r="F35" i="6"/>
  <c r="W5" i="161"/>
  <c r="X3" i="163"/>
  <c r="I170" i="161"/>
  <c r="I53" i="6"/>
  <c r="I38" i="6"/>
  <c r="Z27" i="163"/>
  <c r="H170" i="161"/>
  <c r="H53" i="6"/>
  <c r="I193" i="5"/>
  <c r="I195" i="5" s="1"/>
  <c r="G170" i="161"/>
  <c r="N111" i="6"/>
  <c r="Y36" i="163" s="1"/>
  <c r="K71" i="6"/>
  <c r="X45" i="161"/>
  <c r="N52" i="6"/>
  <c r="Y6" i="163"/>
  <c r="O198" i="5"/>
  <c r="M170" i="161"/>
  <c r="L170" i="161"/>
  <c r="D108" i="6"/>
  <c r="O34" i="163"/>
  <c r="E5" i="163"/>
  <c r="G44" i="161"/>
  <c r="G5" i="163"/>
  <c r="P5" i="161"/>
  <c r="F112" i="6"/>
  <c r="Q37" i="163" s="1"/>
  <c r="F43" i="6"/>
  <c r="G43" i="6"/>
  <c r="F105" i="6"/>
  <c r="F44" i="161"/>
  <c r="F5" i="163"/>
  <c r="X169" i="161"/>
  <c r="Y27" i="163"/>
  <c r="Y28" i="163" s="1"/>
  <c r="O5" i="161"/>
  <c r="E112" i="6"/>
  <c r="P37" i="163" s="1"/>
  <c r="E105" i="6"/>
  <c r="E43" i="6"/>
  <c r="R35" i="163"/>
  <c r="D199" i="5"/>
  <c r="M111" i="6"/>
  <c r="X36" i="163" s="1"/>
  <c r="J219" i="5"/>
  <c r="E170" i="161"/>
  <c r="J71" i="6"/>
  <c r="D5" i="163"/>
  <c r="S35" i="163"/>
  <c r="H84" i="161"/>
  <c r="I63" i="5"/>
  <c r="W169" i="161"/>
  <c r="W170" i="161" s="1"/>
  <c r="X27" i="163"/>
  <c r="N5" i="161"/>
  <c r="D112" i="6"/>
  <c r="O37" i="163" s="1"/>
  <c r="O3" i="163"/>
  <c r="D105" i="6"/>
  <c r="O32" i="163" s="1"/>
  <c r="Q3" i="163"/>
  <c r="Q28" i="163" s="1"/>
  <c r="V169" i="161"/>
  <c r="W27" i="163"/>
  <c r="W28" i="163" s="1"/>
  <c r="K193" i="5"/>
  <c r="K195" i="5" s="1"/>
  <c r="K205" i="5" s="1"/>
  <c r="K214" i="5" s="1"/>
  <c r="D170" i="161"/>
  <c r="N101" i="6"/>
  <c r="N58" i="6" s="1"/>
  <c r="B27" i="163"/>
  <c r="C5" i="163"/>
  <c r="C170" i="161"/>
  <c r="H51" i="6"/>
  <c r="S10" i="163" s="1"/>
  <c r="F29" i="7"/>
  <c r="R170" i="161"/>
  <c r="E29" i="7"/>
  <c r="L60" i="5"/>
  <c r="H112" i="6"/>
  <c r="S37" i="163" s="1"/>
  <c r="K2" i="163"/>
  <c r="G112" i="6"/>
  <c r="R37" i="163" s="1"/>
  <c r="Q170" i="161"/>
  <c r="X6" i="163"/>
  <c r="J2" i="163"/>
  <c r="M52" i="6"/>
  <c r="W6" i="163"/>
  <c r="L211" i="5"/>
  <c r="P170" i="161"/>
  <c r="L52" i="6"/>
  <c r="V6" i="163"/>
  <c r="L145" i="5"/>
  <c r="K52" i="6"/>
  <c r="U6" i="163"/>
  <c r="O15" i="9"/>
  <c r="O16" i="9"/>
  <c r="P15" i="9" s="1"/>
  <c r="N16" i="9"/>
  <c r="N8" i="15" s="1"/>
  <c r="C30" i="17" l="1"/>
  <c r="E58" i="19" s="1"/>
  <c r="M214" i="5"/>
  <c r="M231" i="5"/>
  <c r="C30" i="19"/>
  <c r="D58" i="19"/>
  <c r="F58" i="19"/>
  <c r="I205" i="5"/>
  <c r="I231" i="5" s="1"/>
  <c r="I230" i="5"/>
  <c r="F46" i="161"/>
  <c r="F7" i="163"/>
  <c r="U86" i="161"/>
  <c r="V25" i="163"/>
  <c r="K128" i="161"/>
  <c r="N165" i="5"/>
  <c r="O164" i="5"/>
  <c r="C119" i="6" s="1"/>
  <c r="G193" i="5"/>
  <c r="G195" i="5" s="1"/>
  <c r="G205" i="5" s="1"/>
  <c r="G214" i="5" s="1"/>
  <c r="O62" i="5"/>
  <c r="M84" i="161"/>
  <c r="M23" i="163"/>
  <c r="Z24" i="163" s="1"/>
  <c r="N215" i="5"/>
  <c r="N229" i="5"/>
  <c r="N63" i="5"/>
  <c r="N230" i="5"/>
  <c r="I6" i="161"/>
  <c r="I4" i="163"/>
  <c r="K84" i="161"/>
  <c r="K23" i="163"/>
  <c r="L230" i="5"/>
  <c r="L63" i="5"/>
  <c r="L229" i="5"/>
  <c r="L215" i="5"/>
  <c r="G126" i="161"/>
  <c r="I167" i="5"/>
  <c r="G30" i="163"/>
  <c r="H164" i="5"/>
  <c r="K29" i="163"/>
  <c r="O211" i="5"/>
  <c r="O35" i="163"/>
  <c r="E28" i="163"/>
  <c r="H146" i="5"/>
  <c r="I126" i="161"/>
  <c r="J164" i="5"/>
  <c r="K167" i="5"/>
  <c r="I30" i="163"/>
  <c r="G155" i="5"/>
  <c r="D38" i="19"/>
  <c r="C55" i="20" s="1"/>
  <c r="O173" i="5"/>
  <c r="F6" i="161"/>
  <c r="F4" i="163"/>
  <c r="F193" i="5"/>
  <c r="F195" i="5" s="1"/>
  <c r="F205" i="5" s="1"/>
  <c r="F214" i="5" s="1"/>
  <c r="K32" i="163"/>
  <c r="L222" i="5"/>
  <c r="L231" i="5"/>
  <c r="O231" i="5" s="1"/>
  <c r="P85" i="161"/>
  <c r="Q24" i="163"/>
  <c r="F38" i="6"/>
  <c r="F54" i="6"/>
  <c r="J193" i="5"/>
  <c r="J195" i="5" s="1"/>
  <c r="W85" i="161"/>
  <c r="X24" i="163"/>
  <c r="M38" i="6"/>
  <c r="M54" i="6"/>
  <c r="F28" i="163"/>
  <c r="I146" i="5"/>
  <c r="E155" i="5"/>
  <c r="F155" i="5"/>
  <c r="D155" i="5"/>
  <c r="O195" i="5"/>
  <c r="N205" i="5"/>
  <c r="C84" i="161"/>
  <c r="D63" i="5"/>
  <c r="D230" i="5"/>
  <c r="D215" i="5"/>
  <c r="C23" i="163"/>
  <c r="D229" i="5"/>
  <c r="F126" i="161"/>
  <c r="H167" i="5"/>
  <c r="F30" i="163"/>
  <c r="G164" i="5"/>
  <c r="H32" i="163"/>
  <c r="I222" i="5"/>
  <c r="H35" i="163" s="1"/>
  <c r="G27" i="20"/>
  <c r="G28" i="20"/>
  <c r="G29" i="20"/>
  <c r="E51" i="20" s="1"/>
  <c r="G30" i="20"/>
  <c r="D51" i="20" s="1"/>
  <c r="G31" i="20"/>
  <c r="C51" i="20" s="1"/>
  <c r="E6" i="161"/>
  <c r="E4" i="163"/>
  <c r="N170" i="161"/>
  <c r="C6" i="161"/>
  <c r="C4" i="163"/>
  <c r="L46" i="161"/>
  <c r="L7" i="163"/>
  <c r="O61" i="5"/>
  <c r="N7" i="163" s="1"/>
  <c r="G46" i="5"/>
  <c r="E126" i="161"/>
  <c r="G167" i="5"/>
  <c r="E30" i="163"/>
  <c r="F164" i="5"/>
  <c r="I32" i="163"/>
  <c r="J222" i="5"/>
  <c r="I35" i="163" s="1"/>
  <c r="H193" i="5"/>
  <c r="H195" i="5" s="1"/>
  <c r="H205" i="5" s="1"/>
  <c r="M46" i="161"/>
  <c r="M7" i="163"/>
  <c r="F84" i="161"/>
  <c r="G63" i="5"/>
  <c r="G229" i="5"/>
  <c r="G215" i="5"/>
  <c r="F23" i="163"/>
  <c r="D222" i="5"/>
  <c r="C35" i="163" s="1"/>
  <c r="T46" i="161"/>
  <c r="U7" i="163"/>
  <c r="D231" i="5"/>
  <c r="D46" i="5"/>
  <c r="Q32" i="163"/>
  <c r="Q35" i="163" s="1"/>
  <c r="F108" i="6"/>
  <c r="N28" i="15"/>
  <c r="N48" i="15"/>
  <c r="N68" i="15"/>
  <c r="N88" i="15"/>
  <c r="N156" i="15"/>
  <c r="N154" i="15" s="1"/>
  <c r="N180" i="15"/>
  <c r="N133" i="15"/>
  <c r="N131" i="15" s="1"/>
  <c r="N110" i="15"/>
  <c r="N108" i="15" s="1"/>
  <c r="N203" i="15"/>
  <c r="N226" i="15"/>
  <c r="F46" i="5"/>
  <c r="F222" i="5"/>
  <c r="E35" i="163" s="1"/>
  <c r="E32" i="163"/>
  <c r="O170" i="161"/>
  <c r="G84" i="161"/>
  <c r="H63" i="5"/>
  <c r="H230" i="5"/>
  <c r="H229" i="5"/>
  <c r="H215" i="5"/>
  <c r="G23" i="163"/>
  <c r="H6" i="161"/>
  <c r="H4" i="163"/>
  <c r="H46" i="161"/>
  <c r="H7" i="163"/>
  <c r="E231" i="5"/>
  <c r="E46" i="5"/>
  <c r="O132" i="5"/>
  <c r="N134" i="5"/>
  <c r="O85" i="161"/>
  <c r="P24" i="163"/>
  <c r="E54" i="6"/>
  <c r="E38" i="6"/>
  <c r="I46" i="161"/>
  <c r="I7" i="163"/>
  <c r="E84" i="161"/>
  <c r="F63" i="5"/>
  <c r="F215" i="5"/>
  <c r="F229" i="5"/>
  <c r="E23" i="163"/>
  <c r="X170" i="161"/>
  <c r="J84" i="161"/>
  <c r="K230" i="5"/>
  <c r="J23" i="163"/>
  <c r="K63" i="5"/>
  <c r="K229" i="5"/>
  <c r="K215" i="5"/>
  <c r="D126" i="161"/>
  <c r="F167" i="5"/>
  <c r="D30" i="163"/>
  <c r="E164" i="5"/>
  <c r="K146" i="5"/>
  <c r="H28" i="163"/>
  <c r="X28" i="163"/>
  <c r="G6" i="161"/>
  <c r="G4" i="163"/>
  <c r="K225" i="5"/>
  <c r="J36" i="163" s="1"/>
  <c r="O191" i="5"/>
  <c r="K231" i="5"/>
  <c r="E70" i="6"/>
  <c r="D72" i="6"/>
  <c r="O29" i="163" s="1"/>
  <c r="X85" i="161"/>
  <c r="N38" i="6"/>
  <c r="Y24" i="163"/>
  <c r="N54" i="6"/>
  <c r="T6" i="161"/>
  <c r="U4" i="163"/>
  <c r="D6" i="161"/>
  <c r="D4" i="163"/>
  <c r="V86" i="161"/>
  <c r="W25" i="163"/>
  <c r="L32" i="163"/>
  <c r="M222" i="5"/>
  <c r="L35" i="163" s="1"/>
  <c r="N85" i="161"/>
  <c r="O24" i="163"/>
  <c r="D54" i="6"/>
  <c r="D38" i="6"/>
  <c r="N128" i="161"/>
  <c r="O127" i="161"/>
  <c r="W46" i="161"/>
  <c r="X7" i="163"/>
  <c r="J28" i="7"/>
  <c r="J30" i="7"/>
  <c r="J29" i="7"/>
  <c r="L84" i="161"/>
  <c r="L23" i="163"/>
  <c r="M215" i="5"/>
  <c r="M229" i="5"/>
  <c r="M63" i="5"/>
  <c r="M230" i="5"/>
  <c r="L6" i="161"/>
  <c r="L4" i="163"/>
  <c r="I86" i="161"/>
  <c r="I25" i="163"/>
  <c r="K10" i="163"/>
  <c r="O60" i="5"/>
  <c r="N10" i="163" s="1"/>
  <c r="V32" i="163"/>
  <c r="V35" i="163" s="1"/>
  <c r="K108" i="6"/>
  <c r="C28" i="163"/>
  <c r="E146" i="5"/>
  <c r="F146" i="5"/>
  <c r="D146" i="5"/>
  <c r="H128" i="161"/>
  <c r="K165" i="5"/>
  <c r="Q85" i="161"/>
  <c r="G38" i="6"/>
  <c r="G54" i="6"/>
  <c r="R24" i="163"/>
  <c r="W32" i="163"/>
  <c r="W35" i="163" s="1"/>
  <c r="L108" i="6"/>
  <c r="U46" i="161"/>
  <c r="V7" i="163"/>
  <c r="I199" i="5"/>
  <c r="T32" i="163"/>
  <c r="T35" i="163" s="1"/>
  <c r="I108" i="6"/>
  <c r="N46" i="5"/>
  <c r="N231" i="5"/>
  <c r="U32" i="163"/>
  <c r="U35" i="163" s="1"/>
  <c r="J108" i="6"/>
  <c r="D28" i="163"/>
  <c r="G146" i="5"/>
  <c r="B76" i="6"/>
  <c r="B86" i="6"/>
  <c r="B118" i="6"/>
  <c r="B125" i="6"/>
  <c r="B64" i="6"/>
  <c r="B94" i="6"/>
  <c r="O154" i="5"/>
  <c r="N28" i="163" s="1"/>
  <c r="N155" i="5"/>
  <c r="V6" i="161"/>
  <c r="W4" i="163"/>
  <c r="L146" i="5"/>
  <c r="I28" i="163"/>
  <c r="W6" i="161"/>
  <c r="X4" i="163"/>
  <c r="N146" i="5"/>
  <c r="M146" i="5"/>
  <c r="O145" i="5"/>
  <c r="C87" i="6" s="1"/>
  <c r="K28" i="163"/>
  <c r="E205" i="5"/>
  <c r="E214" i="5" s="1"/>
  <c r="Q6" i="161"/>
  <c r="R4" i="163"/>
  <c r="V46" i="161"/>
  <c r="W7" i="163"/>
  <c r="P6" i="161"/>
  <c r="Q4" i="163"/>
  <c r="V170" i="161"/>
  <c r="J32" i="163"/>
  <c r="K222" i="5"/>
  <c r="J35" i="163" s="1"/>
  <c r="Z31" i="163"/>
  <c r="H86" i="161"/>
  <c r="H25" i="163"/>
  <c r="D39" i="19"/>
  <c r="C56" i="20" s="1"/>
  <c r="O179" i="5"/>
  <c r="U6" i="161"/>
  <c r="V4" i="163"/>
  <c r="D84" i="161"/>
  <c r="E63" i="5"/>
  <c r="E230" i="5"/>
  <c r="E215" i="5"/>
  <c r="E229" i="5"/>
  <c r="D23" i="163"/>
  <c r="J126" i="161"/>
  <c r="K164" i="5"/>
  <c r="L167" i="5"/>
  <c r="J30" i="163"/>
  <c r="M6" i="161"/>
  <c r="M4" i="163"/>
  <c r="C128" i="161"/>
  <c r="D165" i="5"/>
  <c r="N37" i="163"/>
  <c r="C130" i="6"/>
  <c r="S6" i="161"/>
  <c r="T4" i="163"/>
  <c r="G28" i="163"/>
  <c r="J146" i="5"/>
  <c r="X46" i="161"/>
  <c r="Y7" i="163"/>
  <c r="O6" i="161"/>
  <c r="P4" i="163"/>
  <c r="J199" i="5"/>
  <c r="O152" i="5"/>
  <c r="D205" i="5"/>
  <c r="D214" i="5" s="1"/>
  <c r="P32" i="163"/>
  <c r="P35" i="163" s="1"/>
  <c r="E108" i="6"/>
  <c r="S46" i="161"/>
  <c r="T7" i="163"/>
  <c r="H222" i="5"/>
  <c r="G35" i="163" s="1"/>
  <c r="O225" i="5"/>
  <c r="K36" i="163"/>
  <c r="O193" i="5"/>
  <c r="O23" i="9"/>
  <c r="O24" i="9" s="1"/>
  <c r="N23" i="9"/>
  <c r="N20" i="9" s="1"/>
  <c r="O17" i="9"/>
  <c r="P16" i="9"/>
  <c r="N119" i="15" l="1"/>
  <c r="N113" i="15"/>
  <c r="N111" i="15"/>
  <c r="N114" i="15"/>
  <c r="N117" i="15"/>
  <c r="N118" i="15"/>
  <c r="N115" i="15"/>
  <c r="N112" i="15"/>
  <c r="N116" i="15"/>
  <c r="N158" i="15"/>
  <c r="N159" i="15"/>
  <c r="N164" i="15"/>
  <c r="N162" i="15"/>
  <c r="N165" i="15"/>
  <c r="N157" i="15"/>
  <c r="N160" i="15"/>
  <c r="N163" i="15"/>
  <c r="N161" i="15"/>
  <c r="N134" i="15"/>
  <c r="N135" i="15"/>
  <c r="N136" i="15"/>
  <c r="N141" i="15"/>
  <c r="N142" i="15"/>
  <c r="N137" i="15"/>
  <c r="N138" i="15"/>
  <c r="N139" i="15"/>
  <c r="N140" i="15"/>
  <c r="L86" i="161"/>
  <c r="L25" i="163"/>
  <c r="I214" i="5"/>
  <c r="G86" i="161"/>
  <c r="G25" i="163"/>
  <c r="H231" i="5"/>
  <c r="H214" i="5"/>
  <c r="I128" i="161"/>
  <c r="L165" i="5"/>
  <c r="H130" i="6"/>
  <c r="I130" i="6"/>
  <c r="K130" i="6"/>
  <c r="L130" i="6"/>
  <c r="M130" i="6"/>
  <c r="N130" i="6"/>
  <c r="E130" i="6"/>
  <c r="F130" i="6"/>
  <c r="G130" i="6"/>
  <c r="D130" i="6"/>
  <c r="J130" i="6"/>
  <c r="O128" i="161"/>
  <c r="P127" i="161"/>
  <c r="C86" i="161"/>
  <c r="C25" i="163"/>
  <c r="F70" i="6"/>
  <c r="E72" i="6"/>
  <c r="P29" i="163" s="1"/>
  <c r="V8" i="162"/>
  <c r="V16" i="162"/>
  <c r="V10" i="162"/>
  <c r="V15" i="162"/>
  <c r="V7" i="162"/>
  <c r="U17" i="162"/>
  <c r="U18" i="162"/>
  <c r="V12" i="162"/>
  <c r="V11" i="162"/>
  <c r="V14" i="162"/>
  <c r="V13" i="162"/>
  <c r="V9" i="162"/>
  <c r="N87" i="6"/>
  <c r="H87" i="6"/>
  <c r="K87" i="6"/>
  <c r="I87" i="6"/>
  <c r="L87" i="6"/>
  <c r="J87" i="6"/>
  <c r="E87" i="6"/>
  <c r="M87" i="6"/>
  <c r="F87" i="6"/>
  <c r="G87" i="6"/>
  <c r="D87" i="6"/>
  <c r="O229" i="5"/>
  <c r="K35" i="163"/>
  <c r="G230" i="5"/>
  <c r="E128" i="161"/>
  <c r="H165" i="5"/>
  <c r="N136" i="5"/>
  <c r="O134" i="5"/>
  <c r="M86" i="161"/>
  <c r="M25" i="163"/>
  <c r="N86" i="161"/>
  <c r="O25" i="163"/>
  <c r="Q86" i="161"/>
  <c r="R25" i="163"/>
  <c r="F231" i="5"/>
  <c r="O230" i="5"/>
  <c r="F128" i="161"/>
  <c r="I165" i="5"/>
  <c r="E9" i="20"/>
  <c r="J7" i="162" s="1"/>
  <c r="N25" i="163"/>
  <c r="D128" i="161"/>
  <c r="G165" i="5"/>
  <c r="N214" i="5"/>
  <c r="O214" i="5" s="1"/>
  <c r="O205" i="5"/>
  <c r="E165" i="5"/>
  <c r="W86" i="161"/>
  <c r="X25" i="163"/>
  <c r="N178" i="15"/>
  <c r="E86" i="161"/>
  <c r="E25" i="163"/>
  <c r="J205" i="5"/>
  <c r="J230" i="5"/>
  <c r="C129" i="6"/>
  <c r="N36" i="163"/>
  <c r="X86" i="161"/>
  <c r="Y25" i="163"/>
  <c r="P86" i="161"/>
  <c r="Q25" i="163"/>
  <c r="D119" i="6"/>
  <c r="E119" i="6"/>
  <c r="F119" i="6"/>
  <c r="G119" i="6"/>
  <c r="H119" i="6"/>
  <c r="K119" i="6"/>
  <c r="N119" i="6"/>
  <c r="I119" i="6"/>
  <c r="L119" i="6"/>
  <c r="J119" i="6"/>
  <c r="K120" i="6" s="1"/>
  <c r="M119" i="6"/>
  <c r="N120" i="6" s="1"/>
  <c r="F165" i="5"/>
  <c r="N29" i="163"/>
  <c r="C77" i="6"/>
  <c r="D86" i="161"/>
  <c r="D25" i="163"/>
  <c r="Q38" i="28"/>
  <c r="F86" i="161"/>
  <c r="F25" i="163"/>
  <c r="J86" i="161"/>
  <c r="J25" i="163"/>
  <c r="N224" i="15"/>
  <c r="G128" i="161"/>
  <c r="J165" i="5"/>
  <c r="N201" i="15"/>
  <c r="G231" i="5"/>
  <c r="C13" i="19"/>
  <c r="D12" i="6"/>
  <c r="D13" i="6" s="1"/>
  <c r="J128" i="161"/>
  <c r="M165" i="5"/>
  <c r="F230" i="5"/>
  <c r="O215" i="5"/>
  <c r="K86" i="161"/>
  <c r="O63" i="5"/>
  <c r="K25" i="163"/>
  <c r="O86" i="161"/>
  <c r="P25" i="163"/>
  <c r="O38" i="28"/>
  <c r="P38" i="28"/>
  <c r="O20" i="9"/>
  <c r="D16" i="6" s="1"/>
  <c r="N15" i="9"/>
  <c r="P17" i="9"/>
  <c r="Q16" i="9"/>
  <c r="Q15" i="9"/>
  <c r="P23" i="9"/>
  <c r="G70" i="6" l="1"/>
  <c r="F72" i="6"/>
  <c r="Q29" i="163" s="1"/>
  <c r="P128" i="161"/>
  <c r="Q127" i="161"/>
  <c r="N128" i="15"/>
  <c r="N129" i="15"/>
  <c r="G77" i="6"/>
  <c r="G78" i="6" s="1"/>
  <c r="G81" i="6" s="1"/>
  <c r="H77" i="6"/>
  <c r="H78" i="6" s="1"/>
  <c r="H81" i="6" s="1"/>
  <c r="D77" i="6"/>
  <c r="D78" i="6" s="1"/>
  <c r="D81" i="6" s="1"/>
  <c r="E77" i="6"/>
  <c r="E78" i="6" s="1"/>
  <c r="E81" i="6" s="1"/>
  <c r="M77" i="6"/>
  <c r="M78" i="6" s="1"/>
  <c r="M81" i="6" s="1"/>
  <c r="N77" i="6"/>
  <c r="N78" i="6" s="1"/>
  <c r="N81" i="6" s="1"/>
  <c r="I77" i="6"/>
  <c r="I78" i="6" s="1"/>
  <c r="I81" i="6" s="1"/>
  <c r="J77" i="6"/>
  <c r="J78" i="6" s="1"/>
  <c r="J81" i="6" s="1"/>
  <c r="F77" i="6"/>
  <c r="F78" i="6" s="1"/>
  <c r="F81" i="6" s="1"/>
  <c r="K77" i="6"/>
  <c r="K78" i="6" s="1"/>
  <c r="K81" i="6" s="1"/>
  <c r="L77" i="6"/>
  <c r="L78" i="6" s="1"/>
  <c r="L81" i="6" s="1"/>
  <c r="K7" i="162"/>
  <c r="J17" i="162"/>
  <c r="J18" i="162"/>
  <c r="K13" i="162"/>
  <c r="K8" i="162"/>
  <c r="K11" i="162"/>
  <c r="K15" i="162"/>
  <c r="K10" i="162"/>
  <c r="K12" i="162"/>
  <c r="K14" i="162"/>
  <c r="K16" i="162"/>
  <c r="K9" i="162"/>
  <c r="N244" i="15"/>
  <c r="N245" i="15"/>
  <c r="N221" i="15"/>
  <c r="N222" i="15"/>
  <c r="H120" i="6"/>
  <c r="F120" i="6"/>
  <c r="E120" i="6"/>
  <c r="D120" i="6"/>
  <c r="J120" i="6"/>
  <c r="I120" i="6"/>
  <c r="G120" i="6"/>
  <c r="N3" i="161"/>
  <c r="D76" i="6"/>
  <c r="D125" i="6"/>
  <c r="D86" i="6"/>
  <c r="D64" i="6"/>
  <c r="D118" i="6"/>
  <c r="D41" i="6"/>
  <c r="O1" i="163"/>
  <c r="D94" i="6"/>
  <c r="M120" i="6"/>
  <c r="N151" i="15"/>
  <c r="N152" i="15"/>
  <c r="C12" i="19"/>
  <c r="D48" i="6"/>
  <c r="O22" i="163" s="1"/>
  <c r="D43" i="6"/>
  <c r="D44" i="6"/>
  <c r="D45" i="6"/>
  <c r="O13" i="163" s="1"/>
  <c r="D47" i="6"/>
  <c r="O19" i="163" s="1"/>
  <c r="D46" i="6"/>
  <c r="O16" i="163" s="1"/>
  <c r="N198" i="15"/>
  <c r="N199" i="15"/>
  <c r="J231" i="5"/>
  <c r="J214" i="5"/>
  <c r="L120" i="6"/>
  <c r="D129" i="6"/>
  <c r="J129" i="6"/>
  <c r="E129" i="6"/>
  <c r="F129" i="6"/>
  <c r="G129" i="6"/>
  <c r="H129" i="6"/>
  <c r="I129" i="6"/>
  <c r="N129" i="6"/>
  <c r="K129" i="6"/>
  <c r="L129" i="6"/>
  <c r="M129" i="6"/>
  <c r="N174" i="15"/>
  <c r="N175" i="15"/>
  <c r="O21" i="9"/>
  <c r="M16" i="9"/>
  <c r="M8" i="15" s="1"/>
  <c r="N17" i="9"/>
  <c r="N11" i="5" s="1"/>
  <c r="Q17" i="9"/>
  <c r="R16" i="9"/>
  <c r="Q23" i="9"/>
  <c r="R15" i="9"/>
  <c r="P20" i="9"/>
  <c r="P21" i="9" s="1"/>
  <c r="E16" i="6" s="1"/>
  <c r="P24" i="9"/>
  <c r="N6" i="161" l="1"/>
  <c r="O4" i="163"/>
  <c r="D19" i="19"/>
  <c r="C16" i="19"/>
  <c r="D16" i="19" s="1"/>
  <c r="D23" i="19"/>
  <c r="D26" i="19"/>
  <c r="D20" i="19"/>
  <c r="O3" i="161"/>
  <c r="E76" i="6"/>
  <c r="E125" i="6"/>
  <c r="E64" i="6"/>
  <c r="E86" i="6"/>
  <c r="P1" i="163"/>
  <c r="E118" i="6"/>
  <c r="E41" i="6"/>
  <c r="E94" i="6"/>
  <c r="M28" i="15"/>
  <c r="M48" i="15"/>
  <c r="M68" i="15"/>
  <c r="M88" i="15"/>
  <c r="M180" i="15"/>
  <c r="M133" i="15"/>
  <c r="M131" i="15" s="1"/>
  <c r="M156" i="15"/>
  <c r="M154" i="15" s="1"/>
  <c r="M110" i="15"/>
  <c r="M108" i="15" s="1"/>
  <c r="M203" i="15"/>
  <c r="M226" i="15"/>
  <c r="Q128" i="161"/>
  <c r="R127" i="161"/>
  <c r="N167" i="161"/>
  <c r="N83" i="161"/>
  <c r="N43" i="161"/>
  <c r="N125" i="161"/>
  <c r="N12" i="5"/>
  <c r="O11" i="5"/>
  <c r="N221" i="5"/>
  <c r="N220" i="5"/>
  <c r="N219" i="5"/>
  <c r="D37" i="20"/>
  <c r="D42" i="20" s="1"/>
  <c r="H70" i="6"/>
  <c r="G72" i="6"/>
  <c r="R29" i="163" s="1"/>
  <c r="M15" i="9"/>
  <c r="L16" i="9" s="1"/>
  <c r="L8" i="15" s="1"/>
  <c r="M23" i="9"/>
  <c r="M20" i="9" s="1"/>
  <c r="N21" i="9"/>
  <c r="Q20" i="9"/>
  <c r="Q21" i="9" s="1"/>
  <c r="F16" i="6" s="1"/>
  <c r="Q24" i="9"/>
  <c r="R17" i="9"/>
  <c r="R23" i="9"/>
  <c r="S16" i="9"/>
  <c r="S15" i="9"/>
  <c r="M158" i="15" l="1"/>
  <c r="M159" i="15"/>
  <c r="M164" i="15"/>
  <c r="M162" i="15"/>
  <c r="M165" i="15"/>
  <c r="M157" i="15"/>
  <c r="M160" i="15"/>
  <c r="M163" i="15"/>
  <c r="M161" i="15"/>
  <c r="M119" i="15"/>
  <c r="M113" i="15"/>
  <c r="M111" i="15"/>
  <c r="M114" i="15"/>
  <c r="M117" i="15"/>
  <c r="M118" i="15"/>
  <c r="M115" i="15"/>
  <c r="M112" i="15"/>
  <c r="M116" i="15"/>
  <c r="M134" i="15"/>
  <c r="M135" i="15"/>
  <c r="M136" i="15"/>
  <c r="M141" i="15"/>
  <c r="M142" i="15"/>
  <c r="M137" i="15"/>
  <c r="M138" i="15"/>
  <c r="M139" i="15"/>
  <c r="M140" i="15"/>
  <c r="P3" i="161"/>
  <c r="F76" i="6"/>
  <c r="Q1" i="163"/>
  <c r="F64" i="6"/>
  <c r="F86" i="6"/>
  <c r="F125" i="6"/>
  <c r="F94" i="6"/>
  <c r="F41" i="6"/>
  <c r="F118" i="6"/>
  <c r="M178" i="15"/>
  <c r="O43" i="161"/>
  <c r="O83" i="161"/>
  <c r="O167" i="161"/>
  <c r="O125" i="161"/>
  <c r="M32" i="163"/>
  <c r="O219" i="5"/>
  <c r="N49" i="5"/>
  <c r="N15" i="5"/>
  <c r="L28" i="15"/>
  <c r="L48" i="15"/>
  <c r="L68" i="15"/>
  <c r="L88" i="15"/>
  <c r="L133" i="15"/>
  <c r="L131" i="15" s="1"/>
  <c r="L110" i="15"/>
  <c r="L108" i="15" s="1"/>
  <c r="L180" i="15"/>
  <c r="L156" i="15"/>
  <c r="L154" i="15" s="1"/>
  <c r="L203" i="15"/>
  <c r="L226" i="15"/>
  <c r="I70" i="6"/>
  <c r="H72" i="6"/>
  <c r="S29" i="163" s="1"/>
  <c r="D21" i="19"/>
  <c r="D24" i="19" s="1"/>
  <c r="C50" i="19"/>
  <c r="C52" i="20"/>
  <c r="M33" i="163"/>
  <c r="O220" i="5"/>
  <c r="E16" i="19"/>
  <c r="D18" i="19"/>
  <c r="M34" i="163"/>
  <c r="O221" i="5"/>
  <c r="N222" i="5"/>
  <c r="O23" i="5"/>
  <c r="O54" i="5"/>
  <c r="N16" i="163" s="1"/>
  <c r="O25" i="5"/>
  <c r="O34" i="5"/>
  <c r="N13" i="5"/>
  <c r="M13" i="5" s="1"/>
  <c r="L13" i="5" s="1"/>
  <c r="K13" i="5" s="1"/>
  <c r="J13" i="5" s="1"/>
  <c r="I13" i="5" s="1"/>
  <c r="H13" i="5" s="1"/>
  <c r="G13" i="5" s="1"/>
  <c r="F13" i="5" s="1"/>
  <c r="E13" i="5" s="1"/>
  <c r="D13" i="5" s="1"/>
  <c r="O16" i="5"/>
  <c r="O30" i="5"/>
  <c r="O52" i="5"/>
  <c r="O17" i="5"/>
  <c r="O32" i="5"/>
  <c r="O33" i="5"/>
  <c r="O18" i="5"/>
  <c r="O19" i="5"/>
  <c r="O55" i="5"/>
  <c r="N19" i="163" s="1"/>
  <c r="O20" i="5"/>
  <c r="O22" i="5"/>
  <c r="O26" i="5"/>
  <c r="O27" i="5"/>
  <c r="O28" i="5"/>
  <c r="O29" i="5"/>
  <c r="O51" i="5"/>
  <c r="O53" i="5"/>
  <c r="N13" i="163" s="1"/>
  <c r="O56" i="5"/>
  <c r="N22" i="163" s="1"/>
  <c r="R128" i="161"/>
  <c r="S127" i="161"/>
  <c r="M224" i="15"/>
  <c r="M201" i="15"/>
  <c r="M17" i="9"/>
  <c r="M21" i="9" s="1"/>
  <c r="L15" i="9"/>
  <c r="K16" i="9" s="1"/>
  <c r="K8" i="15" s="1"/>
  <c r="L23" i="9"/>
  <c r="L20" i="9" s="1"/>
  <c r="S23" i="9"/>
  <c r="T15" i="9"/>
  <c r="S17" i="9"/>
  <c r="T16" i="9"/>
  <c r="R20" i="9"/>
  <c r="R21" i="9" s="1"/>
  <c r="G16" i="6" s="1"/>
  <c r="R24" i="9"/>
  <c r="L134" i="15" l="1"/>
  <c r="L135" i="15"/>
  <c r="L136" i="15"/>
  <c r="L141" i="15"/>
  <c r="L142" i="15"/>
  <c r="L137" i="15"/>
  <c r="L138" i="15"/>
  <c r="L139" i="15"/>
  <c r="L140" i="15"/>
  <c r="L119" i="15"/>
  <c r="L113" i="15"/>
  <c r="L111" i="15"/>
  <c r="L114" i="15"/>
  <c r="L117" i="15"/>
  <c r="L118" i="15"/>
  <c r="L115" i="15"/>
  <c r="L112" i="15"/>
  <c r="L116" i="15"/>
  <c r="L158" i="15"/>
  <c r="L159" i="15"/>
  <c r="L164" i="15"/>
  <c r="L162" i="15"/>
  <c r="L165" i="15"/>
  <c r="L157" i="15"/>
  <c r="L160" i="15"/>
  <c r="L163" i="15"/>
  <c r="L161" i="15"/>
  <c r="Q3" i="161"/>
  <c r="G76" i="6"/>
  <c r="R1" i="163"/>
  <c r="G64" i="6"/>
  <c r="G86" i="6"/>
  <c r="G125" i="6"/>
  <c r="G41" i="6"/>
  <c r="G118" i="6"/>
  <c r="G94" i="6"/>
  <c r="M3" i="161"/>
  <c r="N150" i="5"/>
  <c r="N159" i="5"/>
  <c r="N170" i="5"/>
  <c r="N182" i="5"/>
  <c r="N209" i="5"/>
  <c r="N71" i="5"/>
  <c r="N176" i="5"/>
  <c r="M1" i="163"/>
  <c r="N140" i="5"/>
  <c r="N32" i="163"/>
  <c r="C126" i="6"/>
  <c r="K28" i="15"/>
  <c r="K48" i="15"/>
  <c r="K68" i="15"/>
  <c r="K88" i="15"/>
  <c r="K180" i="15"/>
  <c r="K110" i="15"/>
  <c r="K108" i="15" s="1"/>
  <c r="K133" i="15"/>
  <c r="K131" i="15" s="1"/>
  <c r="K156" i="15"/>
  <c r="K154" i="15" s="1"/>
  <c r="K203" i="15"/>
  <c r="K226" i="15"/>
  <c r="M49" i="5"/>
  <c r="M15" i="5"/>
  <c r="M128" i="15"/>
  <c r="M129" i="15"/>
  <c r="F9" i="20"/>
  <c r="O7" i="162" s="1"/>
  <c r="N4" i="163"/>
  <c r="M174" i="15"/>
  <c r="M175" i="15"/>
  <c r="J70" i="6"/>
  <c r="I72" i="6"/>
  <c r="T29" i="163" s="1"/>
  <c r="L224" i="15"/>
  <c r="M221" i="15"/>
  <c r="M222" i="15"/>
  <c r="M151" i="15"/>
  <c r="M152" i="15"/>
  <c r="M245" i="15"/>
  <c r="M244" i="15"/>
  <c r="S128" i="161"/>
  <c r="T127" i="161"/>
  <c r="N33" i="163"/>
  <c r="C128" i="6"/>
  <c r="M198" i="15"/>
  <c r="M199" i="15"/>
  <c r="C54" i="20"/>
  <c r="C58" i="20" s="1"/>
  <c r="C62" i="20" s="1"/>
  <c r="E54" i="20"/>
  <c r="E58" i="20" s="1"/>
  <c r="E62" i="20" s="1"/>
  <c r="D54" i="20"/>
  <c r="D58" i="20" s="1"/>
  <c r="D62" i="20" s="1"/>
  <c r="P43" i="161"/>
  <c r="P167" i="161"/>
  <c r="P83" i="161"/>
  <c r="P125" i="161"/>
  <c r="L201" i="15"/>
  <c r="N34" i="163"/>
  <c r="C127" i="6"/>
  <c r="F16" i="19"/>
  <c r="E18" i="19"/>
  <c r="M35" i="163"/>
  <c r="O222" i="5"/>
  <c r="N35" i="163" s="1"/>
  <c r="D29" i="19"/>
  <c r="D30" i="19" s="1"/>
  <c r="D27" i="19"/>
  <c r="D28" i="19" s="1"/>
  <c r="L178" i="15"/>
  <c r="L17" i="9"/>
  <c r="L21" i="9" s="1"/>
  <c r="K15" i="9"/>
  <c r="J16" i="9" s="1"/>
  <c r="J8" i="15" s="1"/>
  <c r="K23" i="9"/>
  <c r="K20" i="9" s="1"/>
  <c r="U16" i="9"/>
  <c r="T17" i="9"/>
  <c r="U15" i="9"/>
  <c r="T23" i="9"/>
  <c r="S24" i="9"/>
  <c r="S20" i="9"/>
  <c r="S21" i="9" s="1"/>
  <c r="H16" i="6" s="1"/>
  <c r="D31" i="19" l="1"/>
  <c r="K158" i="15"/>
  <c r="O158" i="15" s="1"/>
  <c r="K159" i="15"/>
  <c r="O159" i="15" s="1"/>
  <c r="K164" i="15"/>
  <c r="O164" i="15" s="1"/>
  <c r="K162" i="15"/>
  <c r="O162" i="15" s="1"/>
  <c r="K165" i="15"/>
  <c r="O165" i="15" s="1"/>
  <c r="K157" i="15"/>
  <c r="K160" i="15"/>
  <c r="O160" i="15" s="1"/>
  <c r="K163" i="15"/>
  <c r="O163" i="15" s="1"/>
  <c r="K161" i="15"/>
  <c r="O161" i="15" s="1"/>
  <c r="K134" i="15"/>
  <c r="K135" i="15"/>
  <c r="O135" i="15" s="1"/>
  <c r="K136" i="15"/>
  <c r="O136" i="15" s="1"/>
  <c r="K141" i="15"/>
  <c r="O141" i="15" s="1"/>
  <c r="K142" i="15"/>
  <c r="O142" i="15" s="1"/>
  <c r="K137" i="15"/>
  <c r="O137" i="15" s="1"/>
  <c r="K138" i="15"/>
  <c r="O138" i="15" s="1"/>
  <c r="K139" i="15"/>
  <c r="O139" i="15" s="1"/>
  <c r="K140" i="15"/>
  <c r="O140" i="15" s="1"/>
  <c r="O9" i="15"/>
  <c r="G13" i="7" s="1"/>
  <c r="O10" i="15"/>
  <c r="G14" i="7" s="1"/>
  <c r="F11" i="20" s="1"/>
  <c r="O9" i="162" s="1"/>
  <c r="O11" i="15"/>
  <c r="G15" i="7" s="1"/>
  <c r="F12" i="20" s="1"/>
  <c r="O10" i="162" s="1"/>
  <c r="O15" i="15"/>
  <c r="G19" i="7" s="1"/>
  <c r="F16" i="20" s="1"/>
  <c r="O14" i="162" s="1"/>
  <c r="O13" i="15"/>
  <c r="G17" i="7" s="1"/>
  <c r="F14" i="20" s="1"/>
  <c r="O12" i="162" s="1"/>
  <c r="O16" i="15"/>
  <c r="G20" i="7" s="1"/>
  <c r="F17" i="20" s="1"/>
  <c r="O15" i="162" s="1"/>
  <c r="O14" i="15"/>
  <c r="G18" i="7" s="1"/>
  <c r="F15" i="20" s="1"/>
  <c r="O13" i="162" s="1"/>
  <c r="O17" i="15"/>
  <c r="G21" i="7" s="1"/>
  <c r="F18" i="20" s="1"/>
  <c r="O16" i="162" s="1"/>
  <c r="O12" i="15"/>
  <c r="G16" i="7" s="1"/>
  <c r="F13" i="20" s="1"/>
  <c r="O11" i="162" s="1"/>
  <c r="O234" i="15"/>
  <c r="O230" i="15"/>
  <c r="O231" i="15"/>
  <c r="O235" i="15"/>
  <c r="O229" i="15"/>
  <c r="O228" i="15"/>
  <c r="O233" i="15"/>
  <c r="O232" i="15"/>
  <c r="O211" i="15"/>
  <c r="O205" i="15"/>
  <c r="O207" i="15"/>
  <c r="O209" i="15"/>
  <c r="O206" i="15"/>
  <c r="O208" i="15"/>
  <c r="O212" i="15"/>
  <c r="O210" i="15"/>
  <c r="O187" i="15"/>
  <c r="O188" i="15"/>
  <c r="O189" i="15"/>
  <c r="O182" i="15"/>
  <c r="O183" i="15"/>
  <c r="O184" i="15"/>
  <c r="O185" i="15"/>
  <c r="O186" i="15"/>
  <c r="K119" i="15"/>
  <c r="O119" i="15" s="1"/>
  <c r="K113" i="15"/>
  <c r="O113" i="15" s="1"/>
  <c r="K111" i="15"/>
  <c r="K114" i="15"/>
  <c r="O114" i="15" s="1"/>
  <c r="K117" i="15"/>
  <c r="O117" i="15" s="1"/>
  <c r="K118" i="15"/>
  <c r="O118" i="15" s="1"/>
  <c r="K115" i="15"/>
  <c r="O115" i="15" s="1"/>
  <c r="K112" i="15"/>
  <c r="O112" i="15" s="1"/>
  <c r="K116" i="15"/>
  <c r="O116" i="15" s="1"/>
  <c r="L244" i="15"/>
  <c r="L245" i="15"/>
  <c r="J28" i="15"/>
  <c r="J48" i="15"/>
  <c r="J68" i="15"/>
  <c r="J88" i="15"/>
  <c r="J133" i="15"/>
  <c r="J131" i="15" s="1"/>
  <c r="J156" i="15"/>
  <c r="J154" i="15" s="1"/>
  <c r="J180" i="15"/>
  <c r="J110" i="15"/>
  <c r="J108" i="15" s="1"/>
  <c r="J203" i="15"/>
  <c r="J226" i="15"/>
  <c r="L15" i="5"/>
  <c r="L49" i="5"/>
  <c r="M83" i="161"/>
  <c r="M167" i="161"/>
  <c r="M43" i="161"/>
  <c r="M125" i="161"/>
  <c r="L174" i="15"/>
  <c r="L175" i="15"/>
  <c r="K224" i="15"/>
  <c r="K201" i="15"/>
  <c r="L128" i="15"/>
  <c r="L129" i="15"/>
  <c r="U127" i="161"/>
  <c r="T128" i="161"/>
  <c r="P7" i="162"/>
  <c r="H128" i="6"/>
  <c r="J128" i="6"/>
  <c r="N128" i="6"/>
  <c r="I128" i="6"/>
  <c r="K128" i="6"/>
  <c r="L128" i="6"/>
  <c r="M128" i="6"/>
  <c r="G128" i="6"/>
  <c r="E128" i="6"/>
  <c r="F128" i="6"/>
  <c r="D128" i="6"/>
  <c r="L127" i="6"/>
  <c r="M127" i="6"/>
  <c r="D127" i="6"/>
  <c r="E127" i="6"/>
  <c r="F127" i="6"/>
  <c r="K127" i="6"/>
  <c r="N127" i="6"/>
  <c r="G127" i="6"/>
  <c r="H127" i="6"/>
  <c r="I127" i="6"/>
  <c r="J127" i="6"/>
  <c r="K70" i="6"/>
  <c r="J72" i="6"/>
  <c r="U29" i="163" s="1"/>
  <c r="K178" i="15"/>
  <c r="G126" i="6"/>
  <c r="H126" i="6"/>
  <c r="I126" i="6"/>
  <c r="J126" i="6"/>
  <c r="K126" i="6"/>
  <c r="L126" i="6"/>
  <c r="M126" i="6"/>
  <c r="N126" i="6"/>
  <c r="D126" i="6"/>
  <c r="E126" i="6"/>
  <c r="F126" i="6"/>
  <c r="L3" i="161"/>
  <c r="M176" i="5"/>
  <c r="M159" i="5"/>
  <c r="M150" i="5"/>
  <c r="M170" i="5"/>
  <c r="M209" i="5"/>
  <c r="M182" i="5"/>
  <c r="M71" i="5"/>
  <c r="L1" i="163"/>
  <c r="M140" i="5"/>
  <c r="Q167" i="161"/>
  <c r="Q83" i="161"/>
  <c r="Q43" i="161"/>
  <c r="Q125" i="161"/>
  <c r="L151" i="15"/>
  <c r="L152" i="15"/>
  <c r="R3" i="161"/>
  <c r="H76" i="6"/>
  <c r="H118" i="6"/>
  <c r="H125" i="6"/>
  <c r="H86" i="6"/>
  <c r="H64" i="6"/>
  <c r="S1" i="163"/>
  <c r="H94" i="6"/>
  <c r="H41" i="6"/>
  <c r="L222" i="15"/>
  <c r="L221" i="15"/>
  <c r="E29" i="19"/>
  <c r="E30" i="19" s="1"/>
  <c r="E27" i="19"/>
  <c r="E19" i="19"/>
  <c r="E33" i="19"/>
  <c r="E23" i="19"/>
  <c r="E26" i="19"/>
  <c r="E20" i="19"/>
  <c r="F18" i="19"/>
  <c r="G16" i="19"/>
  <c r="L198" i="15"/>
  <c r="L199" i="15"/>
  <c r="J23" i="9"/>
  <c r="J20" i="9" s="1"/>
  <c r="J15" i="9"/>
  <c r="I16" i="9" s="1"/>
  <c r="I8" i="15" s="1"/>
  <c r="K17" i="9"/>
  <c r="K21" i="9" s="1"/>
  <c r="T20" i="9"/>
  <c r="T21" i="9" s="1"/>
  <c r="I16" i="6" s="1"/>
  <c r="T24" i="9"/>
  <c r="U17" i="9"/>
  <c r="V15" i="9"/>
  <c r="U23" i="9"/>
  <c r="V16" i="9"/>
  <c r="J119" i="15" l="1"/>
  <c r="J113" i="15"/>
  <c r="J111" i="15"/>
  <c r="J114" i="15"/>
  <c r="J117" i="15"/>
  <c r="J118" i="15"/>
  <c r="J115" i="15"/>
  <c r="J112" i="15"/>
  <c r="J116" i="15"/>
  <c r="J134" i="15"/>
  <c r="J135" i="15"/>
  <c r="J136" i="15"/>
  <c r="J141" i="15"/>
  <c r="J142" i="15"/>
  <c r="J137" i="15"/>
  <c r="J138" i="15"/>
  <c r="J139" i="15"/>
  <c r="J140" i="15"/>
  <c r="J158" i="15"/>
  <c r="J159" i="15"/>
  <c r="J164" i="15"/>
  <c r="J162" i="15"/>
  <c r="J165" i="15"/>
  <c r="J157" i="15"/>
  <c r="J160" i="15"/>
  <c r="J163" i="15"/>
  <c r="J161" i="15"/>
  <c r="G131" i="6"/>
  <c r="O227" i="15"/>
  <c r="K245" i="15"/>
  <c r="K244" i="15"/>
  <c r="L70" i="6"/>
  <c r="K72" i="6"/>
  <c r="V29" i="163" s="1"/>
  <c r="R167" i="161"/>
  <c r="R43" i="161"/>
  <c r="R125" i="161"/>
  <c r="R83" i="161"/>
  <c r="K3" i="161"/>
  <c r="L176" i="5"/>
  <c r="L159" i="5"/>
  <c r="L150" i="5"/>
  <c r="L170" i="5"/>
  <c r="K1" i="163"/>
  <c r="L71" i="5"/>
  <c r="L182" i="5"/>
  <c r="L209" i="5"/>
  <c r="L140" i="5"/>
  <c r="S3" i="161"/>
  <c r="I118" i="6"/>
  <c r="I76" i="6"/>
  <c r="I125" i="6"/>
  <c r="I64" i="6"/>
  <c r="I41" i="6"/>
  <c r="I94" i="6"/>
  <c r="I86" i="6"/>
  <c r="T1" i="163"/>
  <c r="J224" i="15"/>
  <c r="K15" i="5"/>
  <c r="K49" i="5"/>
  <c r="J201" i="15"/>
  <c r="I28" i="15"/>
  <c r="I48" i="15"/>
  <c r="I68" i="15"/>
  <c r="I88" i="15"/>
  <c r="I156" i="15"/>
  <c r="I154" i="15" s="1"/>
  <c r="I133" i="15"/>
  <c r="I131" i="15" s="1"/>
  <c r="I110" i="15"/>
  <c r="I108" i="15" s="1"/>
  <c r="I180" i="15"/>
  <c r="I203" i="15"/>
  <c r="I226" i="15"/>
  <c r="F10" i="20"/>
  <c r="O8" i="162" s="1"/>
  <c r="P9" i="162" s="1"/>
  <c r="G28" i="7"/>
  <c r="G29" i="7"/>
  <c r="G30" i="7"/>
  <c r="J178" i="15"/>
  <c r="F131" i="6"/>
  <c r="G132" i="6" s="1"/>
  <c r="N131" i="6"/>
  <c r="P13" i="162"/>
  <c r="M131" i="6"/>
  <c r="K174" i="15"/>
  <c r="K175" i="15"/>
  <c r="O157" i="15"/>
  <c r="G18" i="19"/>
  <c r="H16" i="19"/>
  <c r="K131" i="6"/>
  <c r="O181" i="15"/>
  <c r="K199" i="15"/>
  <c r="K198" i="15"/>
  <c r="E21" i="19"/>
  <c r="E24" i="19" s="1"/>
  <c r="E28" i="19" s="1"/>
  <c r="E31" i="19" s="1"/>
  <c r="L83" i="161"/>
  <c r="L167" i="161"/>
  <c r="L125" i="161"/>
  <c r="L43" i="161"/>
  <c r="D131" i="6"/>
  <c r="L131" i="6"/>
  <c r="M132" i="6" s="1"/>
  <c r="J131" i="6"/>
  <c r="K132" i="6" s="1"/>
  <c r="K151" i="15"/>
  <c r="K152" i="15"/>
  <c r="O134" i="15"/>
  <c r="E131" i="6"/>
  <c r="O204" i="15"/>
  <c r="K222" i="15"/>
  <c r="K221" i="15"/>
  <c r="I131" i="6"/>
  <c r="J132" i="6" s="1"/>
  <c r="V127" i="161"/>
  <c r="U128" i="161"/>
  <c r="K128" i="15"/>
  <c r="K129" i="15"/>
  <c r="O111" i="15"/>
  <c r="F27" i="19"/>
  <c r="F29" i="19"/>
  <c r="F30" i="19" s="1"/>
  <c r="F33" i="19"/>
  <c r="F19" i="19"/>
  <c r="F26" i="19"/>
  <c r="F23" i="19"/>
  <c r="F20" i="19"/>
  <c r="H131" i="6"/>
  <c r="J17" i="9"/>
  <c r="J21" i="9" s="1"/>
  <c r="I15" i="9"/>
  <c r="H16" i="9" s="1"/>
  <c r="H8" i="15" s="1"/>
  <c r="I23" i="9"/>
  <c r="I20" i="9" s="1"/>
  <c r="W15" i="9"/>
  <c r="W16" i="9"/>
  <c r="V17" i="9"/>
  <c r="V23" i="9"/>
  <c r="U20" i="9"/>
  <c r="U21" i="9" s="1"/>
  <c r="J16" i="6" s="1"/>
  <c r="U24" i="9"/>
  <c r="O92" i="15" l="1"/>
  <c r="O97" i="15"/>
  <c r="O94" i="15"/>
  <c r="O95" i="15"/>
  <c r="O90" i="15"/>
  <c r="O91" i="15"/>
  <c r="O96" i="15"/>
  <c r="O89" i="15"/>
  <c r="O93" i="15"/>
  <c r="I158" i="15"/>
  <c r="I159" i="15"/>
  <c r="I164" i="15"/>
  <c r="I162" i="15"/>
  <c r="I165" i="15"/>
  <c r="I157" i="15"/>
  <c r="I160" i="15"/>
  <c r="I163" i="15"/>
  <c r="I161" i="15"/>
  <c r="I119" i="15"/>
  <c r="I113" i="15"/>
  <c r="I111" i="15"/>
  <c r="I114" i="15"/>
  <c r="I117" i="15"/>
  <c r="I118" i="15"/>
  <c r="I115" i="15"/>
  <c r="I112" i="15"/>
  <c r="I116" i="15"/>
  <c r="I134" i="15"/>
  <c r="I135" i="15"/>
  <c r="I136" i="15"/>
  <c r="I141" i="15"/>
  <c r="I142" i="15"/>
  <c r="I137" i="15"/>
  <c r="I138" i="15"/>
  <c r="I139" i="15"/>
  <c r="I140" i="15"/>
  <c r="P14" i="162"/>
  <c r="T3" i="161"/>
  <c r="J94" i="6"/>
  <c r="J125" i="6"/>
  <c r="J76" i="6"/>
  <c r="J41" i="6"/>
  <c r="J64" i="6"/>
  <c r="U1" i="163"/>
  <c r="J86" i="6"/>
  <c r="J118" i="6"/>
  <c r="P15" i="162"/>
  <c r="J151" i="15"/>
  <c r="J152" i="15"/>
  <c r="P8" i="162"/>
  <c r="O17" i="162"/>
  <c r="O18" i="162"/>
  <c r="F132" i="6"/>
  <c r="I178" i="15"/>
  <c r="E132" i="6"/>
  <c r="D132" i="6"/>
  <c r="H28" i="15"/>
  <c r="H48" i="15"/>
  <c r="H68" i="15"/>
  <c r="H88" i="15"/>
  <c r="H110" i="15"/>
  <c r="H108" i="15" s="1"/>
  <c r="H180" i="15"/>
  <c r="H133" i="15"/>
  <c r="H131" i="15" s="1"/>
  <c r="H156" i="15"/>
  <c r="H154" i="15" s="1"/>
  <c r="H203" i="15"/>
  <c r="H226" i="15"/>
  <c r="J222" i="15"/>
  <c r="J221" i="15"/>
  <c r="H132" i="6"/>
  <c r="I224" i="15"/>
  <c r="I201" i="15"/>
  <c r="K167" i="161"/>
  <c r="K83" i="161"/>
  <c r="K125" i="161"/>
  <c r="K43" i="161"/>
  <c r="F24" i="19"/>
  <c r="F28" i="19" s="1"/>
  <c r="F31" i="19" s="1"/>
  <c r="F21" i="19"/>
  <c r="L132" i="6"/>
  <c r="J199" i="15"/>
  <c r="J198" i="15"/>
  <c r="I132" i="6"/>
  <c r="S43" i="161"/>
  <c r="S83" i="161"/>
  <c r="S167" i="161"/>
  <c r="S125" i="161"/>
  <c r="W127" i="161"/>
  <c r="V128" i="161"/>
  <c r="M70" i="6"/>
  <c r="L72" i="6"/>
  <c r="W29" i="163" s="1"/>
  <c r="J15" i="5"/>
  <c r="J49" i="5"/>
  <c r="J3" i="161"/>
  <c r="K159" i="5"/>
  <c r="K176" i="5"/>
  <c r="K150" i="5"/>
  <c r="J1" i="163"/>
  <c r="K71" i="5"/>
  <c r="K209" i="5"/>
  <c r="K140" i="5"/>
  <c r="K170" i="5"/>
  <c r="K182" i="5"/>
  <c r="P10" i="162"/>
  <c r="P16" i="162"/>
  <c r="J128" i="15"/>
  <c r="J129" i="15"/>
  <c r="H18" i="19"/>
  <c r="I16" i="19"/>
  <c r="G27" i="19"/>
  <c r="G29" i="19"/>
  <c r="G30" i="19" s="1"/>
  <c r="G33" i="19"/>
  <c r="G26" i="19"/>
  <c r="G20" i="19"/>
  <c r="G23" i="19"/>
  <c r="G19" i="19"/>
  <c r="J174" i="15"/>
  <c r="J175" i="15"/>
  <c r="J245" i="15"/>
  <c r="J244" i="15"/>
  <c r="P12" i="162"/>
  <c r="P11" i="162"/>
  <c r="N132" i="6"/>
  <c r="I17" i="9"/>
  <c r="I21" i="9" s="1"/>
  <c r="H23" i="9"/>
  <c r="H20" i="9" s="1"/>
  <c r="H15" i="9"/>
  <c r="G16" i="9" s="1"/>
  <c r="G8" i="15" s="1"/>
  <c r="V20" i="9"/>
  <c r="V21" i="9" s="1"/>
  <c r="K16" i="6" s="1"/>
  <c r="V24" i="9"/>
  <c r="X15" i="9"/>
  <c r="X16" i="9"/>
  <c r="W17" i="9"/>
  <c r="W23" i="9"/>
  <c r="H119" i="15" l="1"/>
  <c r="H113" i="15"/>
  <c r="H111" i="15"/>
  <c r="H114" i="15"/>
  <c r="H117" i="15"/>
  <c r="H118" i="15"/>
  <c r="H115" i="15"/>
  <c r="H112" i="15"/>
  <c r="H116" i="15"/>
  <c r="H158" i="15"/>
  <c r="H159" i="15"/>
  <c r="H164" i="15"/>
  <c r="H162" i="15"/>
  <c r="H165" i="15"/>
  <c r="H157" i="15"/>
  <c r="H160" i="15"/>
  <c r="H163" i="15"/>
  <c r="H161" i="15"/>
  <c r="H134" i="15"/>
  <c r="H135" i="15"/>
  <c r="H136" i="15"/>
  <c r="H141" i="15"/>
  <c r="H142" i="15"/>
  <c r="H137" i="15"/>
  <c r="H138" i="15"/>
  <c r="H139" i="15"/>
  <c r="H140" i="15"/>
  <c r="I18" i="19"/>
  <c r="J16" i="19"/>
  <c r="I15" i="5"/>
  <c r="I49" i="5"/>
  <c r="I151" i="15"/>
  <c r="I152" i="15"/>
  <c r="I3" i="161"/>
  <c r="J159" i="5"/>
  <c r="J176" i="5"/>
  <c r="J150" i="5"/>
  <c r="I1" i="163"/>
  <c r="J170" i="5"/>
  <c r="J182" i="5"/>
  <c r="J71" i="5"/>
  <c r="J209" i="5"/>
  <c r="J140" i="5"/>
  <c r="M72" i="6"/>
  <c r="X29" i="163" s="1"/>
  <c r="N70" i="6"/>
  <c r="N72" i="6" s="1"/>
  <c r="Y29" i="163" s="1"/>
  <c r="X127" i="161"/>
  <c r="X128" i="161" s="1"/>
  <c r="W128" i="161"/>
  <c r="I128" i="15"/>
  <c r="I129" i="15"/>
  <c r="I174" i="15"/>
  <c r="I175" i="15"/>
  <c r="G21" i="19"/>
  <c r="G24" i="19" s="1"/>
  <c r="G28" i="19" s="1"/>
  <c r="G31" i="19" s="1"/>
  <c r="I222" i="15"/>
  <c r="I221" i="15"/>
  <c r="H27" i="19"/>
  <c r="H29" i="19"/>
  <c r="H30" i="19" s="1"/>
  <c r="H33" i="19"/>
  <c r="H26" i="19"/>
  <c r="H20" i="19"/>
  <c r="H23" i="19"/>
  <c r="H19" i="19"/>
  <c r="H224" i="15"/>
  <c r="U3" i="161"/>
  <c r="K41" i="6"/>
  <c r="K94" i="6"/>
  <c r="K125" i="6"/>
  <c r="K76" i="6"/>
  <c r="K64" i="6"/>
  <c r="K118" i="6"/>
  <c r="V1" i="163"/>
  <c r="K86" i="6"/>
  <c r="H178" i="15"/>
  <c r="I198" i="15"/>
  <c r="I199" i="15"/>
  <c r="I245" i="15"/>
  <c r="I244" i="15"/>
  <c r="G28" i="15"/>
  <c r="G48" i="15"/>
  <c r="G68" i="15"/>
  <c r="G88" i="15"/>
  <c r="G156" i="15"/>
  <c r="G154" i="15" s="1"/>
  <c r="G133" i="15"/>
  <c r="G131" i="15" s="1"/>
  <c r="G110" i="15"/>
  <c r="G108" i="15" s="1"/>
  <c r="G180" i="15"/>
  <c r="G203" i="15"/>
  <c r="G226" i="15"/>
  <c r="T125" i="161"/>
  <c r="T43" i="161"/>
  <c r="T83" i="161"/>
  <c r="T167" i="161"/>
  <c r="H201" i="15"/>
  <c r="J125" i="161"/>
  <c r="J167" i="161"/>
  <c r="J83" i="161"/>
  <c r="J43" i="161"/>
  <c r="H17" i="9"/>
  <c r="H21" i="9" s="1"/>
  <c r="G23" i="9"/>
  <c r="G20" i="9" s="1"/>
  <c r="G15" i="9"/>
  <c r="F16" i="9" s="1"/>
  <c r="F8" i="15" s="1"/>
  <c r="W24" i="9"/>
  <c r="W20" i="9"/>
  <c r="W21" i="9" s="1"/>
  <c r="L16" i="6" s="1"/>
  <c r="Y15" i="9"/>
  <c r="X17" i="9"/>
  <c r="X23" i="9"/>
  <c r="Y16" i="9"/>
  <c r="G119" i="15" l="1"/>
  <c r="G113" i="15"/>
  <c r="G111" i="15"/>
  <c r="G114" i="15"/>
  <c r="G117" i="15"/>
  <c r="G118" i="15"/>
  <c r="G115" i="15"/>
  <c r="G112" i="15"/>
  <c r="G116" i="15"/>
  <c r="G158" i="15"/>
  <c r="G159" i="15"/>
  <c r="G164" i="15"/>
  <c r="G162" i="15"/>
  <c r="G165" i="15"/>
  <c r="G157" i="15"/>
  <c r="G160" i="15"/>
  <c r="G163" i="15"/>
  <c r="G161" i="15"/>
  <c r="G134" i="15"/>
  <c r="G135" i="15"/>
  <c r="G136" i="15"/>
  <c r="G141" i="15"/>
  <c r="G142" i="15"/>
  <c r="G137" i="15"/>
  <c r="G138" i="15"/>
  <c r="G139" i="15"/>
  <c r="G140" i="15"/>
  <c r="V3" i="161"/>
  <c r="L41" i="6"/>
  <c r="L125" i="6"/>
  <c r="L118" i="6"/>
  <c r="L64" i="6"/>
  <c r="L76" i="6"/>
  <c r="L94" i="6"/>
  <c r="W1" i="163"/>
  <c r="L86" i="6"/>
  <c r="F28" i="15"/>
  <c r="F48" i="15"/>
  <c r="F68" i="15"/>
  <c r="F88" i="15"/>
  <c r="F133" i="15"/>
  <c r="F131" i="15" s="1"/>
  <c r="F110" i="15"/>
  <c r="F108" i="15" s="1"/>
  <c r="F156" i="15"/>
  <c r="F154" i="15" s="1"/>
  <c r="F180" i="15"/>
  <c r="F203" i="15"/>
  <c r="F226" i="15"/>
  <c r="H151" i="15"/>
  <c r="H152" i="15"/>
  <c r="U167" i="161"/>
  <c r="U125" i="161"/>
  <c r="U43" i="161"/>
  <c r="U83" i="161"/>
  <c r="H245" i="15"/>
  <c r="H244" i="15"/>
  <c r="H222" i="15"/>
  <c r="H221" i="15"/>
  <c r="H15" i="5"/>
  <c r="H49" i="5"/>
  <c r="I125" i="161"/>
  <c r="I167" i="161"/>
  <c r="I83" i="161"/>
  <c r="I43" i="161"/>
  <c r="H174" i="15"/>
  <c r="H175" i="15"/>
  <c r="H3" i="161"/>
  <c r="I159" i="5"/>
  <c r="I176" i="5"/>
  <c r="H1" i="163"/>
  <c r="I209" i="5"/>
  <c r="I170" i="5"/>
  <c r="I71" i="5"/>
  <c r="I182" i="5"/>
  <c r="I140" i="5"/>
  <c r="I150" i="5"/>
  <c r="H21" i="19"/>
  <c r="H24" i="19"/>
  <c r="H28" i="19" s="1"/>
  <c r="H31" i="19" s="1"/>
  <c r="J18" i="19"/>
  <c r="K16" i="19"/>
  <c r="I29" i="19"/>
  <c r="I30" i="19" s="1"/>
  <c r="I31" i="19"/>
  <c r="I23" i="19"/>
  <c r="I26" i="19" s="1"/>
  <c r="I19" i="19"/>
  <c r="I27" i="19"/>
  <c r="I20" i="19"/>
  <c r="G224" i="15"/>
  <c r="G201" i="15"/>
  <c r="H198" i="15"/>
  <c r="H199" i="15"/>
  <c r="G178" i="15"/>
  <c r="H128" i="15"/>
  <c r="H129" i="15"/>
  <c r="G17" i="9"/>
  <c r="G21" i="9" s="1"/>
  <c r="F15" i="9"/>
  <c r="E16" i="9" s="1"/>
  <c r="E8" i="15" s="1"/>
  <c r="F23" i="9"/>
  <c r="F20" i="9" s="1"/>
  <c r="Z16" i="9"/>
  <c r="Y23" i="9"/>
  <c r="Y17" i="9"/>
  <c r="Z15" i="9"/>
  <c r="X24" i="9"/>
  <c r="X20" i="9"/>
  <c r="X21" i="9" s="1"/>
  <c r="M16" i="6" s="1"/>
  <c r="F119" i="15" l="1"/>
  <c r="F113" i="15"/>
  <c r="F111" i="15"/>
  <c r="F114" i="15"/>
  <c r="F117" i="15"/>
  <c r="F118" i="15"/>
  <c r="F115" i="15"/>
  <c r="F112" i="15"/>
  <c r="F116" i="15"/>
  <c r="F158" i="15"/>
  <c r="F159" i="15"/>
  <c r="F164" i="15"/>
  <c r="F162" i="15"/>
  <c r="F165" i="15"/>
  <c r="F157" i="15"/>
  <c r="F160" i="15"/>
  <c r="F163" i="15"/>
  <c r="F161" i="15"/>
  <c r="F134" i="15"/>
  <c r="F135" i="15"/>
  <c r="F136" i="15"/>
  <c r="F141" i="15"/>
  <c r="F142" i="15"/>
  <c r="F137" i="15"/>
  <c r="F138" i="15"/>
  <c r="F139" i="15"/>
  <c r="F140" i="15"/>
  <c r="G198" i="15"/>
  <c r="G199" i="15"/>
  <c r="G222" i="15"/>
  <c r="G221" i="15"/>
  <c r="G151" i="15"/>
  <c r="G152" i="15"/>
  <c r="G174" i="15"/>
  <c r="G175" i="15"/>
  <c r="K18" i="19"/>
  <c r="L16" i="19"/>
  <c r="J23" i="19"/>
  <c r="J26" i="19" s="1"/>
  <c r="J31" i="19"/>
  <c r="J29" i="19"/>
  <c r="J30" i="19" s="1"/>
  <c r="J19" i="19"/>
  <c r="J27" i="19"/>
  <c r="J20" i="19"/>
  <c r="W3" i="161"/>
  <c r="M41" i="6"/>
  <c r="M118" i="6"/>
  <c r="M94" i="6"/>
  <c r="M125" i="6"/>
  <c r="M76" i="6"/>
  <c r="M64" i="6"/>
  <c r="X1" i="163"/>
  <c r="M86" i="6"/>
  <c r="H83" i="161"/>
  <c r="H167" i="161"/>
  <c r="H43" i="161"/>
  <c r="H125" i="161"/>
  <c r="E28" i="15"/>
  <c r="E48" i="15"/>
  <c r="E68" i="15"/>
  <c r="E88" i="15"/>
  <c r="E110" i="15"/>
  <c r="E108" i="15" s="1"/>
  <c r="E180" i="15"/>
  <c r="E133" i="15"/>
  <c r="E131" i="15" s="1"/>
  <c r="E156" i="15"/>
  <c r="E154" i="15" s="1"/>
  <c r="E203" i="15"/>
  <c r="E226" i="15"/>
  <c r="G15" i="5"/>
  <c r="G49" i="5"/>
  <c r="G128" i="15"/>
  <c r="G129" i="15"/>
  <c r="V167" i="161"/>
  <c r="V125" i="161"/>
  <c r="V43" i="161"/>
  <c r="V83" i="161"/>
  <c r="G245" i="15"/>
  <c r="G244" i="15"/>
  <c r="G3" i="161"/>
  <c r="H159" i="5"/>
  <c r="G1" i="163"/>
  <c r="H176" i="5"/>
  <c r="H71" i="5"/>
  <c r="H170" i="5"/>
  <c r="H209" i="5"/>
  <c r="H182" i="5"/>
  <c r="H140" i="5"/>
  <c r="H150" i="5"/>
  <c r="I21" i="19"/>
  <c r="I24" i="19" s="1"/>
  <c r="I28" i="19" s="1"/>
  <c r="I33" i="19" s="1"/>
  <c r="D36" i="19" s="1"/>
  <c r="F224" i="15"/>
  <c r="F201" i="15"/>
  <c r="F178" i="15"/>
  <c r="E15" i="9"/>
  <c r="D16" i="9" s="1"/>
  <c r="D8" i="15" s="1"/>
  <c r="E23" i="9"/>
  <c r="E20" i="9" s="1"/>
  <c r="F17" i="9"/>
  <c r="F21" i="9" s="1"/>
  <c r="AA16" i="9"/>
  <c r="Z17" i="9"/>
  <c r="Z23" i="9"/>
  <c r="AA15" i="9"/>
  <c r="Y24" i="9"/>
  <c r="Y20" i="9"/>
  <c r="Y21" i="9" s="1"/>
  <c r="N16" i="6" s="1"/>
  <c r="E119" i="15" l="1"/>
  <c r="E113" i="15"/>
  <c r="E111" i="15"/>
  <c r="E114" i="15"/>
  <c r="E117" i="15"/>
  <c r="E118" i="15"/>
  <c r="E115" i="15"/>
  <c r="E112" i="15"/>
  <c r="E116" i="15"/>
  <c r="E134" i="15"/>
  <c r="E135" i="15"/>
  <c r="E136" i="15"/>
  <c r="E141" i="15"/>
  <c r="E142" i="15"/>
  <c r="E137" i="15"/>
  <c r="E138" i="15"/>
  <c r="E139" i="15"/>
  <c r="E140" i="15"/>
  <c r="E158" i="15"/>
  <c r="E159" i="15"/>
  <c r="E164" i="15"/>
  <c r="E162" i="15"/>
  <c r="E165" i="15"/>
  <c r="E157" i="15"/>
  <c r="E160" i="15"/>
  <c r="E163" i="15"/>
  <c r="E161" i="15"/>
  <c r="E224" i="15"/>
  <c r="K19" i="19"/>
  <c r="K23" i="19"/>
  <c r="K26" i="19" s="1"/>
  <c r="K31" i="19"/>
  <c r="K29" i="19"/>
  <c r="K30" i="19" s="1"/>
  <c r="K27" i="19"/>
  <c r="K20" i="19"/>
  <c r="E201" i="15"/>
  <c r="F15" i="5"/>
  <c r="F49" i="5"/>
  <c r="D28" i="15"/>
  <c r="D48" i="15"/>
  <c r="D68" i="15"/>
  <c r="D88" i="15"/>
  <c r="D110" i="15"/>
  <c r="D108" i="15" s="1"/>
  <c r="D180" i="15"/>
  <c r="D156" i="15"/>
  <c r="D154" i="15" s="1"/>
  <c r="D133" i="15"/>
  <c r="D131" i="15" s="1"/>
  <c r="D203" i="15"/>
  <c r="D226" i="15"/>
  <c r="F244" i="15"/>
  <c r="F245" i="15"/>
  <c r="F151" i="15"/>
  <c r="F152" i="15"/>
  <c r="G167" i="161"/>
  <c r="G83" i="161"/>
  <c r="G43" i="161"/>
  <c r="G125" i="161"/>
  <c r="W167" i="161"/>
  <c r="W43" i="161"/>
  <c r="W125" i="161"/>
  <c r="W83" i="161"/>
  <c r="J21" i="19"/>
  <c r="J24" i="19" s="1"/>
  <c r="J28" i="19" s="1"/>
  <c r="J33" i="19" s="1"/>
  <c r="F198" i="15"/>
  <c r="F199" i="15"/>
  <c r="F174" i="15"/>
  <c r="F175" i="15"/>
  <c r="X3" i="161"/>
  <c r="N41" i="6"/>
  <c r="N118" i="6"/>
  <c r="N125" i="6"/>
  <c r="N64" i="6"/>
  <c r="N94" i="6"/>
  <c r="N76" i="6"/>
  <c r="Y1" i="163"/>
  <c r="N86" i="6"/>
  <c r="F3" i="161"/>
  <c r="G176" i="5"/>
  <c r="F1" i="163"/>
  <c r="G71" i="5"/>
  <c r="G170" i="5"/>
  <c r="G182" i="5"/>
  <c r="G209" i="5"/>
  <c r="G150" i="5"/>
  <c r="G140" i="5"/>
  <c r="G159" i="5"/>
  <c r="M16" i="19"/>
  <c r="L18" i="19"/>
  <c r="F221" i="15"/>
  <c r="F222" i="15"/>
  <c r="E178" i="15"/>
  <c r="F128" i="15"/>
  <c r="F129" i="15"/>
  <c r="E17" i="9"/>
  <c r="E21" i="9" s="1"/>
  <c r="D23" i="9"/>
  <c r="D20" i="9" s="1"/>
  <c r="D15" i="9"/>
  <c r="D17" i="9" s="1"/>
  <c r="AB16" i="9"/>
  <c r="AB15" i="9"/>
  <c r="AA17" i="9"/>
  <c r="AA23" i="9"/>
  <c r="Z24" i="9"/>
  <c r="Z20" i="9"/>
  <c r="Z21" i="9" s="1"/>
  <c r="D119" i="15" l="1"/>
  <c r="D113" i="15"/>
  <c r="D111" i="15"/>
  <c r="D114" i="15"/>
  <c r="D117" i="15"/>
  <c r="D118" i="15"/>
  <c r="D115" i="15"/>
  <c r="D112" i="15"/>
  <c r="D116" i="15"/>
  <c r="D158" i="15"/>
  <c r="D159" i="15"/>
  <c r="D164" i="15"/>
  <c r="D162" i="15"/>
  <c r="D165" i="15"/>
  <c r="D157" i="15"/>
  <c r="D160" i="15"/>
  <c r="D163" i="15"/>
  <c r="D161" i="15"/>
  <c r="D134" i="15"/>
  <c r="D135" i="15"/>
  <c r="D136" i="15"/>
  <c r="D141" i="15"/>
  <c r="D142" i="15"/>
  <c r="D137" i="15"/>
  <c r="D138" i="15"/>
  <c r="D139" i="15"/>
  <c r="D140" i="15"/>
  <c r="E151" i="15"/>
  <c r="E152" i="15"/>
  <c r="E128" i="15"/>
  <c r="E129" i="15"/>
  <c r="L19" i="19"/>
  <c r="L23" i="19"/>
  <c r="L26" i="19" s="1"/>
  <c r="L29" i="19"/>
  <c r="L30" i="19" s="1"/>
  <c r="L31" i="19"/>
  <c r="L20" i="19"/>
  <c r="L27" i="19"/>
  <c r="N16" i="19"/>
  <c r="M18" i="19"/>
  <c r="E175" i="15"/>
  <c r="E174" i="15"/>
  <c r="E244" i="15"/>
  <c r="E245" i="15"/>
  <c r="D224" i="15"/>
  <c r="D201" i="15"/>
  <c r="F167" i="161"/>
  <c r="F83" i="161"/>
  <c r="F125" i="161"/>
  <c r="F43" i="161"/>
  <c r="D178" i="15"/>
  <c r="E198" i="15"/>
  <c r="E199" i="15"/>
  <c r="E3" i="161"/>
  <c r="F176" i="5"/>
  <c r="F140" i="5"/>
  <c r="E1" i="163"/>
  <c r="F182" i="5"/>
  <c r="F209" i="5"/>
  <c r="F71" i="5"/>
  <c r="F150" i="5"/>
  <c r="F170" i="5"/>
  <c r="F159" i="5"/>
  <c r="X125" i="161"/>
  <c r="X167" i="161"/>
  <c r="X43" i="161"/>
  <c r="X83" i="161"/>
  <c r="K21" i="19"/>
  <c r="K24" i="19" s="1"/>
  <c r="K28" i="19" s="1"/>
  <c r="K33" i="19" s="1"/>
  <c r="E221" i="15"/>
  <c r="E222" i="15"/>
  <c r="E15" i="5"/>
  <c r="E49" i="5"/>
  <c r="D21" i="9"/>
  <c r="AA24" i="9"/>
  <c r="AA20" i="9"/>
  <c r="AA21" i="9" s="1"/>
  <c r="AB23" i="9"/>
  <c r="AB17" i="9"/>
  <c r="AC16" i="9"/>
  <c r="AC15" i="9"/>
  <c r="D49" i="5" l="1"/>
  <c r="D15" i="5"/>
  <c r="D222" i="15"/>
  <c r="D221" i="15"/>
  <c r="D3" i="161"/>
  <c r="E140" i="5"/>
  <c r="D1" i="163"/>
  <c r="E209" i="5"/>
  <c r="E71" i="5"/>
  <c r="E159" i="5"/>
  <c r="E150" i="5"/>
  <c r="E176" i="5"/>
  <c r="E170" i="5"/>
  <c r="E182" i="5"/>
  <c r="D245" i="15"/>
  <c r="D244" i="15"/>
  <c r="M19" i="19"/>
  <c r="M20" i="19"/>
  <c r="M23" i="19"/>
  <c r="M26" i="19" s="1"/>
  <c r="M31" i="19"/>
  <c r="M29" i="19"/>
  <c r="M30" i="19" s="1"/>
  <c r="M27" i="19"/>
  <c r="O16" i="19"/>
  <c r="N18" i="19"/>
  <c r="L21" i="19"/>
  <c r="L24" i="19" s="1"/>
  <c r="L28" i="19" s="1"/>
  <c r="L33" i="19" s="1"/>
  <c r="E43" i="161"/>
  <c r="E83" i="161"/>
  <c r="E167" i="161"/>
  <c r="E125" i="161"/>
  <c r="D151" i="15"/>
  <c r="D152" i="15"/>
  <c r="D198" i="15"/>
  <c r="D199" i="15"/>
  <c r="D174" i="15"/>
  <c r="D175" i="15"/>
  <c r="D128" i="15"/>
  <c r="D129" i="15"/>
  <c r="AB24" i="9"/>
  <c r="AB20" i="9"/>
  <c r="AB21" i="9" s="1"/>
  <c r="AC23" i="9"/>
  <c r="AC17" i="9"/>
  <c r="AD15" i="9"/>
  <c r="AD16" i="9"/>
  <c r="D43" i="161" l="1"/>
  <c r="D167" i="161"/>
  <c r="D83" i="161"/>
  <c r="D125" i="161"/>
  <c r="C3" i="161"/>
  <c r="C1" i="163"/>
  <c r="D140" i="5"/>
  <c r="D209" i="5"/>
  <c r="D71" i="5"/>
  <c r="D159" i="5"/>
  <c r="D176" i="5"/>
  <c r="D170" i="5"/>
  <c r="D182" i="5"/>
  <c r="D150" i="5"/>
  <c r="N23" i="19"/>
  <c r="N26" i="19" s="1"/>
  <c r="N19" i="19"/>
  <c r="N20" i="19"/>
  <c r="N27" i="19"/>
  <c r="N31" i="19"/>
  <c r="N29" i="19"/>
  <c r="N30" i="19" s="1"/>
  <c r="P16" i="19"/>
  <c r="O18" i="19"/>
  <c r="M21" i="19"/>
  <c r="M24" i="19" s="1"/>
  <c r="M28" i="19" s="1"/>
  <c r="M33" i="19" s="1"/>
  <c r="AD17" i="9"/>
  <c r="AE15" i="9"/>
  <c r="AD23" i="9"/>
  <c r="AE16" i="9"/>
  <c r="AC24" i="9"/>
  <c r="AC20" i="9"/>
  <c r="AC21" i="9" s="1"/>
  <c r="C43" i="161" l="1"/>
  <c r="C167" i="161"/>
  <c r="C83" i="161"/>
  <c r="C125" i="161"/>
  <c r="O23" i="19"/>
  <c r="O26" i="19" s="1"/>
  <c r="O19" i="19"/>
  <c r="O27" i="19"/>
  <c r="O31" i="19"/>
  <c r="O20" i="19"/>
  <c r="O29" i="19"/>
  <c r="O30" i="19" s="1"/>
  <c r="Q16" i="19"/>
  <c r="P18" i="19"/>
  <c r="N21" i="19"/>
  <c r="N24" i="19" s="1"/>
  <c r="N28" i="19" s="1"/>
  <c r="N33" i="19" s="1"/>
  <c r="AD24" i="9"/>
  <c r="AD20" i="9"/>
  <c r="AD21" i="9" s="1"/>
  <c r="AE17" i="9"/>
  <c r="AF15" i="9"/>
  <c r="AE23" i="9"/>
  <c r="AF16" i="9"/>
  <c r="P23" i="19" l="1"/>
  <c r="P26" i="19" s="1"/>
  <c r="P19" i="19"/>
  <c r="P27" i="19"/>
  <c r="P29" i="19"/>
  <c r="P30" i="19" s="1"/>
  <c r="P31" i="19"/>
  <c r="P20" i="19"/>
  <c r="R16" i="19"/>
  <c r="R18" i="19" s="1"/>
  <c r="Q18" i="19"/>
  <c r="O21" i="19"/>
  <c r="O24" i="19" s="1"/>
  <c r="O28" i="19" s="1"/>
  <c r="O33" i="19" s="1"/>
  <c r="AG15" i="9"/>
  <c r="AF23" i="9"/>
  <c r="AG16" i="9"/>
  <c r="AF17" i="9"/>
  <c r="AE24" i="9"/>
  <c r="AE20" i="9"/>
  <c r="AE21" i="9" s="1"/>
  <c r="Q19" i="19" l="1"/>
  <c r="R19" i="19" s="1"/>
  <c r="Q23" i="19"/>
  <c r="Q26" i="19" s="1"/>
  <c r="Q27" i="19"/>
  <c r="Q31" i="19"/>
  <c r="Q20" i="19"/>
  <c r="R20" i="19" s="1"/>
  <c r="Q29" i="19"/>
  <c r="Q30" i="19" s="1"/>
  <c r="R23" i="19"/>
  <c r="R26" i="19" s="1"/>
  <c r="R27" i="19"/>
  <c r="R29" i="19"/>
  <c r="R30" i="19" s="1"/>
  <c r="R31" i="19"/>
  <c r="D35" i="19" s="1"/>
  <c r="P21" i="19"/>
  <c r="P24" i="19" s="1"/>
  <c r="P28" i="19" s="1"/>
  <c r="P33" i="19" s="1"/>
  <c r="AF20" i="9"/>
  <c r="AF21" i="9" s="1"/>
  <c r="AF24" i="9"/>
  <c r="AG17" i="9"/>
  <c r="AH15" i="9"/>
  <c r="AG23" i="9"/>
  <c r="AH16" i="9"/>
  <c r="D37" i="19" l="1"/>
  <c r="E35" i="19" s="1"/>
  <c r="R21" i="19"/>
  <c r="R24" i="19" s="1"/>
  <c r="R28" i="19" s="1"/>
  <c r="R33" i="19" s="1"/>
  <c r="Q21" i="19"/>
  <c r="Q24" i="19" s="1"/>
  <c r="Q28" i="19" s="1"/>
  <c r="Q33" i="19" s="1"/>
  <c r="AI15" i="9"/>
  <c r="AI16" i="9"/>
  <c r="AH17" i="9"/>
  <c r="AH23" i="9"/>
  <c r="AG20" i="9"/>
  <c r="AG21" i="9" s="1"/>
  <c r="AG24" i="9"/>
  <c r="D40" i="19" l="1"/>
  <c r="D42" i="19"/>
  <c r="D43" i="19"/>
  <c r="C49" i="19"/>
  <c r="C51" i="19" s="1"/>
  <c r="E36" i="19"/>
  <c r="AI17" i="9"/>
  <c r="AJ15" i="9"/>
  <c r="AI23" i="9"/>
  <c r="AJ16" i="9"/>
  <c r="AH24" i="9"/>
  <c r="AH20" i="9"/>
  <c r="AH21" i="9" s="1"/>
  <c r="D9" i="20" l="1"/>
  <c r="D7" i="162" s="1"/>
  <c r="D44" i="19"/>
  <c r="C59" i="19" s="1"/>
  <c r="AI24" i="9"/>
  <c r="AI20" i="9"/>
  <c r="AI21" i="9" s="1"/>
  <c r="AJ23" i="9"/>
  <c r="AJ17" i="9"/>
  <c r="AK15" i="9"/>
  <c r="AK16" i="9"/>
  <c r="E7" i="162" l="1"/>
  <c r="D17" i="162"/>
  <c r="D18" i="162"/>
  <c r="E12" i="162"/>
  <c r="E10" i="162"/>
  <c r="E8" i="162"/>
  <c r="E15" i="162"/>
  <c r="E14" i="162"/>
  <c r="E13" i="162"/>
  <c r="E9" i="162"/>
  <c r="E11" i="162"/>
  <c r="E16" i="162"/>
  <c r="AJ24" i="9"/>
  <c r="AJ20" i="9"/>
  <c r="AJ21" i="9" s="1"/>
  <c r="AK23" i="9"/>
  <c r="AL16" i="9"/>
  <c r="AK17" i="9"/>
  <c r="AL15" i="9"/>
  <c r="AK24" i="9" l="1"/>
  <c r="AK20" i="9"/>
  <c r="AK21" i="9" s="1"/>
  <c r="AL17" i="9"/>
  <c r="AL23" i="9"/>
  <c r="AM15" i="9"/>
  <c r="AM16" i="9"/>
  <c r="AM23" i="9" l="1"/>
  <c r="AM17" i="9"/>
  <c r="AN16" i="9"/>
  <c r="AN15" i="9"/>
  <c r="AL24" i="9"/>
  <c r="AL20" i="9"/>
  <c r="AL21" i="9" s="1"/>
  <c r="AN23" i="9" l="1"/>
  <c r="AO15" i="9"/>
  <c r="AO16" i="9"/>
  <c r="AN17" i="9"/>
  <c r="AM24" i="9"/>
  <c r="AM20" i="9"/>
  <c r="AM21" i="9" s="1"/>
  <c r="AP15" i="9" l="1"/>
  <c r="AO23" i="9"/>
  <c r="AP16" i="9"/>
  <c r="AO17" i="9"/>
  <c r="AN24" i="9"/>
  <c r="AN20" i="9"/>
  <c r="AN21" i="9" s="1"/>
  <c r="AO20" i="9" l="1"/>
  <c r="AO21" i="9" s="1"/>
  <c r="AO24" i="9"/>
  <c r="AP23" i="9"/>
  <c r="AQ16" i="9"/>
  <c r="AP17" i="9"/>
  <c r="AQ15" i="9"/>
  <c r="AQ17" i="9" l="1"/>
  <c r="AQ23" i="9"/>
  <c r="AR16" i="9"/>
  <c r="AR15" i="9"/>
  <c r="AP24" i="9"/>
  <c r="AP20" i="9"/>
  <c r="AP21" i="9" s="1"/>
  <c r="AR23" i="9" l="1"/>
  <c r="AR17" i="9"/>
  <c r="AQ20" i="9"/>
  <c r="AQ21" i="9" s="1"/>
  <c r="AQ24" i="9"/>
  <c r="AR24" i="9" l="1"/>
  <c r="AR20" i="9"/>
  <c r="AR21"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B14" authorId="0" shapeId="0" xr:uid="{1548A667-D011-4138-9397-470717E5D848}">
      <text>
        <r>
          <rPr>
            <b/>
            <sz val="9"/>
            <color indexed="81"/>
            <rFont val="Tahoma"/>
            <family val="2"/>
          </rPr>
          <t>present costs/expenses in negative numbers in (  )</t>
        </r>
        <r>
          <rPr>
            <sz val="9"/>
            <color indexed="81"/>
            <rFont val="Tahoma"/>
            <family val="2"/>
          </rPr>
          <t xml:space="preserve">
</t>
        </r>
      </text>
    </comment>
    <comment ref="B105" authorId="0" shapeId="0" xr:uid="{F5F7D73B-47D2-48F7-B558-D7EBE27B593E}">
      <text>
        <r>
          <rPr>
            <b/>
            <sz val="9"/>
            <color indexed="81"/>
            <rFont val="Tahoma"/>
            <family val="2"/>
          </rPr>
          <t>Do NOT present liabilities in (   )</t>
        </r>
        <r>
          <rPr>
            <sz val="9"/>
            <color indexed="81"/>
            <rFont val="Tahoma"/>
            <family val="2"/>
          </rPr>
          <t xml:space="preserve">
</t>
        </r>
      </text>
    </comment>
    <comment ref="B141" authorId="0" shapeId="0" xr:uid="{DDE44A8B-9C11-4633-B2F6-AF9F9F5ED33B}">
      <text>
        <r>
          <rPr>
            <b/>
            <sz val="9"/>
            <color indexed="81"/>
            <rFont val="Tahoma"/>
            <family val="2"/>
          </rPr>
          <t xml:space="preserve">Capex is an outflow so insert in negative ( )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B63" authorId="0" shapeId="0" xr:uid="{D718A566-5BD8-4897-9135-E27DC501426B}">
      <text>
        <r>
          <rPr>
            <b/>
            <sz val="9"/>
            <color indexed="81"/>
            <rFont val="Tahoma"/>
            <family val="2"/>
          </rPr>
          <t xml:space="preserve">Capex is an outflow so insert in negative ( ) 
</t>
        </r>
      </text>
    </comment>
    <comment ref="B93" authorId="0" shapeId="0" xr:uid="{AA5D7C7C-E5A8-428B-B1B8-330545CCF4CD}">
      <text>
        <r>
          <rPr>
            <b/>
            <sz val="9"/>
            <color indexed="81"/>
            <rFont val="Tahoma"/>
            <family val="2"/>
          </rPr>
          <t xml:space="preserve">Liability items presented in negative ( )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Z1" authorId="0" shapeId="0" xr:uid="{9DA8D43C-3F9F-428A-9782-29E50554DCB1}">
      <text>
        <r>
          <rPr>
            <b/>
            <sz val="9"/>
            <color indexed="81"/>
            <rFont val="Tahoma"/>
            <family val="2"/>
          </rPr>
          <t>Check if this is fine</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Bilal Noorgat</author>
    <author>tc={28943A0E-C983-4996-8FAD-2393C46A944E}</author>
  </authors>
  <commentList>
    <comment ref="B13" authorId="0" shapeId="0" xr:uid="{45819BBE-BD37-4EF0-AABB-A91F06913903}">
      <text>
        <r>
          <rPr>
            <b/>
            <sz val="9"/>
            <color indexed="81"/>
            <rFont val="Tahoma"/>
            <family val="2"/>
          </rPr>
          <t>=IF([@Ticker]="","",PROPER(CIQ([@Ticker],"IQ_COMPANY_NAME")))</t>
        </r>
      </text>
    </comment>
    <comment ref="D13" authorId="0" shapeId="0" xr:uid="{0899A75B-CD1C-4FCC-9EF8-474E3C0B795E}">
      <text>
        <r>
          <rPr>
            <b/>
            <sz val="9"/>
            <color indexed="81"/>
            <rFont val="Tahoma"/>
            <family val="2"/>
          </rPr>
          <t>=IF([@Ticker]="","",IF(CIQ([@Ticker],"IQ_BUSINESS_DESCRIPTION")=0,"-",CIQ([@Ticker],"IQ_BUSINESS_DESCRIPTION")))</t>
        </r>
      </text>
    </comment>
    <comment ref="E13" authorId="0" shapeId="0" xr:uid="{4DC98A50-48F5-4847-8AF5-A87492F315EF}">
      <text>
        <r>
          <rPr>
            <b/>
            <sz val="9"/>
            <color indexed="81"/>
            <rFont val="Tahoma"/>
            <family val="2"/>
          </rPr>
          <t>=IF([@Ticker]="","",IFERROR(CIQ([@Ticker],"IQ_MARKETCAP",$C$5,$C$6)*$C$8,0))</t>
        </r>
      </text>
    </comment>
    <comment ref="F13" authorId="0" shapeId="0" xr:uid="{9BC183CE-EEB5-4F71-9A8E-70634E14B8B1}">
      <text>
        <r>
          <rPr>
            <b/>
            <sz val="9"/>
            <color indexed="81"/>
            <rFont val="Tahoma"/>
            <family val="2"/>
          </rPr>
          <t>=IF([@Ticker]="","",IFERROR(CIQ([@Ticker],"IQ_EBIT_MARGIN",IQ_FY,$C$5)/100,"NA"))</t>
        </r>
      </text>
    </comment>
    <comment ref="H13" authorId="0" shapeId="0" xr:uid="{AEEDC215-7312-4831-BFC9-D2A7A0B9F287}">
      <text>
        <r>
          <rPr>
            <b/>
            <sz val="9"/>
            <color indexed="81"/>
            <rFont val="Tahoma"/>
            <family val="2"/>
          </rPr>
          <t>=IF([@Ticker]="","",CIQ([@Ticker],$I$5,$I$6,$C$5))</t>
        </r>
      </text>
    </comment>
    <comment ref="K13" authorId="0" shapeId="0" xr:uid="{C47B8458-A739-44AB-B5FB-06ECD85920FD}">
      <text>
        <r>
          <rPr>
            <b/>
            <sz val="9"/>
            <color indexed="81"/>
            <rFont val="Tahoma"/>
            <family val="2"/>
          </rPr>
          <t>=IF([@Ticker]="","",CIQ([@Ticker],"IQ_CUSTOM_BETA","-"&amp;$F$5,$C$5,$F$6))</t>
        </r>
      </text>
    </comment>
    <comment ref="L13" authorId="0" shapeId="0" xr:uid="{1C159D34-D85C-4939-9E51-E65FBF62DA51}">
      <text>
        <r>
          <rPr>
            <b/>
            <sz val="9"/>
            <color indexed="81"/>
            <rFont val="Tahoma"/>
            <family val="2"/>
          </rPr>
          <t>=IF([@Ticker]="","",IF($F$7="S",M13,IFERROR(CIQ([@Ticker],"IQ_EFFECT_TAX_RATE",IQ_FY,$C$5)/100,"NA")))</t>
        </r>
      </text>
    </comment>
    <comment ref="N13" authorId="0" shapeId="0" xr:uid="{18F07D9A-828C-47DC-BC74-2A30EBF1E000}">
      <text>
        <r>
          <rPr>
            <b/>
            <sz val="9"/>
            <color indexed="81"/>
            <rFont val="Tahoma"/>
            <family val="2"/>
          </rPr>
          <t>=IF([@Ticker]="","",IFERROR(CIQ([@Ticker],"IQ_TOTAL_DEBT",IQ_FQ,$C$5,"LFR",,$C$6)*$C$8,0))</t>
        </r>
      </text>
    </comment>
    <comment ref="O13" authorId="0" shapeId="0" xr:uid="{FE7C7C7F-C2F4-488F-88C2-EA111C6FC87D}">
      <text>
        <r>
          <rPr>
            <b/>
            <sz val="9"/>
            <color indexed="81"/>
            <rFont val="Tahoma"/>
            <family val="2"/>
          </rPr>
          <t>=IF([@Ticker]="","",IF(CIQ([@Ticker],"IQ_EXCHANGE")=0,"-",CIQ([@Ticker],"IQ_EXCHANGE")))</t>
        </r>
      </text>
    </comment>
    <comment ref="P13" authorId="0" shapeId="0" xr:uid="{B96384DE-980D-4E88-9356-590EFA5ABB35}">
      <text>
        <r>
          <rPr>
            <b/>
            <sz val="9"/>
            <color indexed="81"/>
            <rFont val="Tahoma"/>
            <family val="2"/>
          </rPr>
          <t>=IF([@Ticker]="","",IF(CIQ([@Ticker],"IQ_COUNTRY_NAME")=0,"-",CIQ([@Ticker],"IQ_COUNTRY_NAME")))</t>
        </r>
      </text>
    </comment>
    <comment ref="Q13" authorId="0" shapeId="0" xr:uid="{02B6AD91-F82C-4A08-AAD9-2868F2FAA1F3}">
      <text>
        <r>
          <rPr>
            <b/>
            <sz val="9"/>
            <color indexed="81"/>
            <rFont val="Tahoma"/>
            <family val="2"/>
          </rPr>
          <t>=IF($C13="","",CIQ($C13,"IQ_PERIODDATE",IQ_FY,$C$5))</t>
        </r>
      </text>
    </comment>
    <comment ref="B14" authorId="0" shapeId="0" xr:uid="{174ECF0D-8E7A-4A2B-99A5-AD12BA1CE694}">
      <text>
        <r>
          <rPr>
            <b/>
            <sz val="9"/>
            <color indexed="81"/>
            <rFont val="Tahoma"/>
            <family val="2"/>
          </rPr>
          <t>=IF([@Ticker]="","",PROPER(CIQ([@Ticker],"IQ_COMPANY_NAME")))</t>
        </r>
      </text>
    </comment>
    <comment ref="D14" authorId="0" shapeId="0" xr:uid="{D39D4F0B-0346-441F-BD2F-1B7BED58F748}">
      <text>
        <r>
          <rPr>
            <b/>
            <sz val="9"/>
            <color indexed="81"/>
            <rFont val="Tahoma"/>
            <family val="2"/>
          </rPr>
          <t>=IF([@Ticker]="","",IF(CIQ([@Ticker],"IQ_BUSINESS_DESCRIPTION")=0,"-",CIQ([@Ticker],"IQ_BUSINESS_DESCRIPTION")))</t>
        </r>
      </text>
    </comment>
    <comment ref="E14" authorId="0" shapeId="0" xr:uid="{A7A28736-1A31-4799-99C5-3DABA8A7668C}">
      <text>
        <r>
          <rPr>
            <b/>
            <sz val="9"/>
            <color indexed="81"/>
            <rFont val="Tahoma"/>
            <family val="2"/>
          </rPr>
          <t>=IF([@Ticker]="","",IFERROR(CIQ([@Ticker],"IQ_MARKETCAP",$C$5,$C$6)*$C$8,0))</t>
        </r>
      </text>
    </comment>
    <comment ref="F14" authorId="0" shapeId="0" xr:uid="{E44B31AB-A49F-4A40-BC68-4FE83B4DB55E}">
      <text>
        <r>
          <rPr>
            <b/>
            <sz val="9"/>
            <color indexed="81"/>
            <rFont val="Tahoma"/>
            <family val="2"/>
          </rPr>
          <t>=IF([@Ticker]="","",IFERROR(CIQ([@Ticker],"IQ_EBIT_MARGIN",IQ_FY,$C$5)/100,"NA"))</t>
        </r>
      </text>
    </comment>
    <comment ref="H14" authorId="0" shapeId="0" xr:uid="{DF0BDCB7-077E-4888-8A8F-6B95BB7EED3B}">
      <text>
        <r>
          <rPr>
            <b/>
            <sz val="9"/>
            <color indexed="81"/>
            <rFont val="Tahoma"/>
            <family val="2"/>
          </rPr>
          <t>=IF([@Ticker]="","",CIQ([@Ticker],$I$5,$I$6,$C$5))</t>
        </r>
      </text>
    </comment>
    <comment ref="K14" authorId="0" shapeId="0" xr:uid="{56556030-6A10-4847-B89B-9B5647EFEDAB}">
      <text>
        <r>
          <rPr>
            <b/>
            <sz val="9"/>
            <color indexed="81"/>
            <rFont val="Tahoma"/>
            <family val="2"/>
          </rPr>
          <t>=IF([@Ticker]="","",CIQ([@Ticker],"IQ_CUSTOM_BETA","-"&amp;$F$5,$C$5,$F$6))</t>
        </r>
      </text>
    </comment>
    <comment ref="L14" authorId="0" shapeId="0" xr:uid="{DC48A30E-9FEF-4162-AA6F-32D8035C9E01}">
      <text>
        <r>
          <rPr>
            <b/>
            <sz val="9"/>
            <color indexed="81"/>
            <rFont val="Tahoma"/>
            <family val="2"/>
          </rPr>
          <t>=IF([@Ticker]="","",IF($F$7="S",M14,IFERROR(CIQ([@Ticker],"IQ_EFFECT_TAX_RATE",IQ_FY,$C$5)/100,"NA")))</t>
        </r>
      </text>
    </comment>
    <comment ref="N14" authorId="0" shapeId="0" xr:uid="{7863330D-27CA-4D76-8D9B-0EEF48ED391C}">
      <text>
        <r>
          <rPr>
            <b/>
            <sz val="9"/>
            <color indexed="81"/>
            <rFont val="Tahoma"/>
            <family val="2"/>
          </rPr>
          <t>=IF([@Ticker]="","",IFERROR(CIQ([@Ticker],"IQ_TOTAL_DEBT",IQ_FQ,$C$5,"LFR",,$C$6)*$C$8,0))</t>
        </r>
      </text>
    </comment>
    <comment ref="O14" authorId="0" shapeId="0" xr:uid="{874A5F85-53D5-4656-91CE-2C749C1D117F}">
      <text>
        <r>
          <rPr>
            <b/>
            <sz val="9"/>
            <color indexed="81"/>
            <rFont val="Tahoma"/>
            <family val="2"/>
          </rPr>
          <t>=IF([@Ticker]="","",IF(CIQ([@Ticker],"IQ_EXCHANGE")=0,"-",CIQ([@Ticker],"IQ_EXCHANGE")))</t>
        </r>
      </text>
    </comment>
    <comment ref="P14" authorId="0" shapeId="0" xr:uid="{E05D02A6-7573-4CD3-BAEC-4AA74F7F7628}">
      <text>
        <r>
          <rPr>
            <b/>
            <sz val="9"/>
            <color indexed="81"/>
            <rFont val="Tahoma"/>
            <family val="2"/>
          </rPr>
          <t>=IF([@Ticker]="","",IF(CIQ([@Ticker],"IQ_COUNTRY_NAME")=0,"-",CIQ([@Ticker],"IQ_COUNTRY_NAME")))</t>
        </r>
      </text>
    </comment>
    <comment ref="Q14" authorId="0" shapeId="0" xr:uid="{7248248D-F1D4-434C-93F3-32F66B889391}">
      <text>
        <r>
          <rPr>
            <b/>
            <sz val="9"/>
            <color indexed="81"/>
            <rFont val="Tahoma"/>
            <family val="2"/>
          </rPr>
          <t>=IF($C24="","",CIQ($C24,"IQ_PERIODDATE",IQ_FY,$C$5))</t>
        </r>
      </text>
    </comment>
    <comment ref="B15" authorId="0" shapeId="0" xr:uid="{0E475416-CC86-431D-B7C9-12DF675B3BE9}">
      <text>
        <r>
          <rPr>
            <b/>
            <sz val="9"/>
            <color indexed="81"/>
            <rFont val="Tahoma"/>
            <family val="2"/>
          </rPr>
          <t>=IF([@Ticker]="","",PROPER(CIQ([@Ticker],"IQ_COMPANY_NAME")))</t>
        </r>
      </text>
    </comment>
    <comment ref="D15" authorId="0" shapeId="0" xr:uid="{281EF3F9-D631-4E74-B272-8D01E9F44AED}">
      <text>
        <r>
          <rPr>
            <b/>
            <sz val="9"/>
            <color indexed="81"/>
            <rFont val="Tahoma"/>
            <family val="2"/>
          </rPr>
          <t>=IF([@Ticker]="","",IF(CIQ([@Ticker],"IQ_BUSINESS_DESCRIPTION")=0,"-",CIQ([@Ticker],"IQ_BUSINESS_DESCRIPTION")))</t>
        </r>
      </text>
    </comment>
    <comment ref="E15" authorId="0" shapeId="0" xr:uid="{FAA84A69-EA24-4FC8-8795-1158411BA0D9}">
      <text>
        <r>
          <rPr>
            <b/>
            <sz val="9"/>
            <color indexed="81"/>
            <rFont val="Tahoma"/>
            <family val="2"/>
          </rPr>
          <t>=IF([@Ticker]="","",IFERROR(CIQ([@Ticker],"IQ_MARKETCAP",$C$5,$C$6)*$C$8,0))</t>
        </r>
      </text>
    </comment>
    <comment ref="F15" authorId="0" shapeId="0" xr:uid="{3DF468A5-B73E-456D-85F5-DCCE71CEDFDE}">
      <text>
        <r>
          <rPr>
            <b/>
            <sz val="9"/>
            <color indexed="81"/>
            <rFont val="Tahoma"/>
            <family val="2"/>
          </rPr>
          <t>=IF([@Ticker]="","",IFERROR(CIQ([@Ticker],"IQ_EBIT_MARGIN",IQ_FY,$C$5)/100,"NA"))</t>
        </r>
      </text>
    </comment>
    <comment ref="H15" authorId="0" shapeId="0" xr:uid="{403547B5-318C-4B76-8B56-0E568C7EEDFA}">
      <text>
        <r>
          <rPr>
            <b/>
            <sz val="9"/>
            <color indexed="81"/>
            <rFont val="Tahoma"/>
            <family val="2"/>
          </rPr>
          <t>=IF([@Ticker]="","",CIQ([@Ticker],$I$5,$I$6,$C$5))</t>
        </r>
      </text>
    </comment>
    <comment ref="K15" authorId="0" shapeId="0" xr:uid="{D4DCA958-6510-4239-9A64-933E9EEAA72F}">
      <text>
        <r>
          <rPr>
            <b/>
            <sz val="9"/>
            <color indexed="81"/>
            <rFont val="Tahoma"/>
            <family val="2"/>
          </rPr>
          <t>=IF([@Ticker]="","",CIQ([@Ticker],"IQ_CUSTOM_BETA","-"&amp;$F$5,$C$5,$F$6))</t>
        </r>
      </text>
    </comment>
    <comment ref="L15" authorId="0" shapeId="0" xr:uid="{55514A8B-048F-4F2D-B3D0-D47FD2696ED1}">
      <text>
        <r>
          <rPr>
            <b/>
            <sz val="9"/>
            <color indexed="81"/>
            <rFont val="Tahoma"/>
            <family val="2"/>
          </rPr>
          <t>=IF([@Ticker]="","",IF($F$7="S",M15,IFERROR(CIQ([@Ticker],"IQ_EFFECT_TAX_RATE",IQ_FY,$C$5)/100,"NA")))</t>
        </r>
      </text>
    </comment>
    <comment ref="N15" authorId="0" shapeId="0" xr:uid="{41631CE0-951E-4317-8494-198CEBEC8543}">
      <text>
        <r>
          <rPr>
            <b/>
            <sz val="9"/>
            <color indexed="81"/>
            <rFont val="Tahoma"/>
            <family val="2"/>
          </rPr>
          <t>=IF([@Ticker]="","",IFERROR(CIQ([@Ticker],"IQ_TOTAL_DEBT",IQ_FQ,$C$5,"LFR",,$C$6)*$C$8,0))</t>
        </r>
      </text>
    </comment>
    <comment ref="O15" authorId="0" shapeId="0" xr:uid="{0231539E-C738-4931-90AD-4C195C6182E9}">
      <text>
        <r>
          <rPr>
            <b/>
            <sz val="9"/>
            <color indexed="81"/>
            <rFont val="Tahoma"/>
            <family val="2"/>
          </rPr>
          <t>=IF([@Ticker]="","",IF(CIQ([@Ticker],"IQ_EXCHANGE")=0,"-",CIQ([@Ticker],"IQ_EXCHANGE")))</t>
        </r>
      </text>
    </comment>
    <comment ref="P15" authorId="0" shapeId="0" xr:uid="{2446BCF0-E3F9-4315-B5C4-944AE83A60B8}">
      <text>
        <r>
          <rPr>
            <b/>
            <sz val="9"/>
            <color indexed="81"/>
            <rFont val="Tahoma"/>
            <family val="2"/>
          </rPr>
          <t>=IF([@Ticker]="","",IF(CIQ([@Ticker],"IQ_COUNTRY_NAME")=0,"-",CIQ([@Ticker],"IQ_COUNTRY_NAME")))</t>
        </r>
      </text>
    </comment>
    <comment ref="Q15" authorId="0" shapeId="0" xr:uid="{D5F965F6-97E7-4026-B7D1-248DF47DF1F0}">
      <text>
        <r>
          <rPr>
            <b/>
            <sz val="9"/>
            <color indexed="81"/>
            <rFont val="Tahoma"/>
            <family val="2"/>
          </rPr>
          <t>=IF($C15="","",CIQ($C15,"IQ_PERIODDATE",IQ_FY,$C$5))</t>
        </r>
      </text>
    </comment>
    <comment ref="B16" authorId="0" shapeId="0" xr:uid="{15CDF755-C04D-4F8D-A310-16381584B66C}">
      <text>
        <r>
          <rPr>
            <b/>
            <sz val="9"/>
            <color indexed="81"/>
            <rFont val="Tahoma"/>
            <family val="2"/>
          </rPr>
          <t>=IF([@Ticker]="","",PROPER(CIQ([@Ticker],"IQ_COMPANY_NAME")))</t>
        </r>
      </text>
    </comment>
    <comment ref="D16" authorId="0" shapeId="0" xr:uid="{E2B3538B-2AAF-4AC2-8D2F-FA29DA049D33}">
      <text>
        <r>
          <rPr>
            <b/>
            <sz val="9"/>
            <color indexed="81"/>
            <rFont val="Tahoma"/>
            <family val="2"/>
          </rPr>
          <t>=IF([@Ticker]="","",IF(CIQ([@Ticker],"IQ_BUSINESS_DESCRIPTION")=0,"-",CIQ([@Ticker],"IQ_BUSINESS_DESCRIPTION")))</t>
        </r>
      </text>
    </comment>
    <comment ref="E16" authorId="0" shapeId="0" xr:uid="{A2F68F86-604F-4686-B868-08C6722C18C1}">
      <text>
        <r>
          <rPr>
            <b/>
            <sz val="9"/>
            <color indexed="81"/>
            <rFont val="Tahoma"/>
            <family val="2"/>
          </rPr>
          <t>=IF([@Ticker]="","",IFERROR(CIQ([@Ticker],"IQ_MARKETCAP",$C$5,$C$6)*$C$8,0))</t>
        </r>
      </text>
    </comment>
    <comment ref="F16" authorId="0" shapeId="0" xr:uid="{D5A685AA-A223-47A9-8E5A-59D08B59EED7}">
      <text>
        <r>
          <rPr>
            <b/>
            <sz val="9"/>
            <color indexed="81"/>
            <rFont val="Tahoma"/>
            <family val="2"/>
          </rPr>
          <t>=IF([@Ticker]="","",IFERROR(CIQ([@Ticker],"IQ_EBIT_MARGIN",IQ_FY,$C$5)/100,"NA"))</t>
        </r>
      </text>
    </comment>
    <comment ref="H16" authorId="0" shapeId="0" xr:uid="{7FE34F65-CD1F-492C-BE66-947923CBCBDB}">
      <text>
        <r>
          <rPr>
            <b/>
            <sz val="9"/>
            <color indexed="81"/>
            <rFont val="Tahoma"/>
            <family val="2"/>
          </rPr>
          <t>=IF([@Ticker]="","",CIQ([@Ticker],$I$5,$I$6,$C$5))</t>
        </r>
      </text>
    </comment>
    <comment ref="K16" authorId="0" shapeId="0" xr:uid="{27D40783-FB9F-4CA9-9159-19D63FDAD946}">
      <text>
        <r>
          <rPr>
            <b/>
            <sz val="9"/>
            <color indexed="81"/>
            <rFont val="Tahoma"/>
            <family val="2"/>
          </rPr>
          <t>=IF([@Ticker]="","",CIQ([@Ticker],"IQ_CUSTOM_BETA","-"&amp;$F$5,$C$5,$F$6))</t>
        </r>
      </text>
    </comment>
    <comment ref="L16" authorId="0" shapeId="0" xr:uid="{46AB8247-958E-4C81-8EF6-AA333EF3754F}">
      <text>
        <r>
          <rPr>
            <b/>
            <sz val="9"/>
            <color indexed="81"/>
            <rFont val="Tahoma"/>
            <family val="2"/>
          </rPr>
          <t>=IF([@Ticker]="","",IF($F$7="S",M16,IFERROR(CIQ([@Ticker],"IQ_EFFECT_TAX_RATE",IQ_FY,$C$5)/100,"NA")))</t>
        </r>
      </text>
    </comment>
    <comment ref="N16" authorId="0" shapeId="0" xr:uid="{2F0263BF-AE7C-426C-B4B8-DDD2F11C81C9}">
      <text>
        <r>
          <rPr>
            <b/>
            <sz val="9"/>
            <color indexed="81"/>
            <rFont val="Tahoma"/>
            <family val="2"/>
          </rPr>
          <t>=IF([@Ticker]="","",IFERROR(CIQ([@Ticker],"IQ_TOTAL_DEBT",IQ_FQ,$C$5,"LFR",,$C$6)*$C$8,0))</t>
        </r>
      </text>
    </comment>
    <comment ref="O16" authorId="0" shapeId="0" xr:uid="{795BB878-8AA2-4051-B50A-10F417F97759}">
      <text>
        <r>
          <rPr>
            <b/>
            <sz val="9"/>
            <color indexed="81"/>
            <rFont val="Tahoma"/>
            <family val="2"/>
          </rPr>
          <t>=IF([@Ticker]="","",IF(CIQ([@Ticker],"IQ_EXCHANGE")=0,"-",CIQ([@Ticker],"IQ_EXCHANGE")))</t>
        </r>
      </text>
    </comment>
    <comment ref="P16" authorId="0" shapeId="0" xr:uid="{6043D3B4-BE66-420A-9A97-6EEFA5034255}">
      <text>
        <r>
          <rPr>
            <b/>
            <sz val="9"/>
            <color indexed="81"/>
            <rFont val="Tahoma"/>
            <family val="2"/>
          </rPr>
          <t>=IF([@Ticker]="","",IF(CIQ([@Ticker],"IQ_COUNTRY_NAME")=0,"-",CIQ([@Ticker],"IQ_COUNTRY_NAME")))</t>
        </r>
      </text>
    </comment>
    <comment ref="Q16" authorId="0" shapeId="0" xr:uid="{C7898CF0-64F3-45FE-9682-158F95A9FD13}">
      <text>
        <r>
          <rPr>
            <b/>
            <sz val="9"/>
            <color indexed="81"/>
            <rFont val="Tahoma"/>
            <family val="2"/>
          </rPr>
          <t>=IF($C16="","",CIQ($C16,"IQ_PERIODDATE",IQ_FY,$C$5))</t>
        </r>
      </text>
    </comment>
    <comment ref="B17" authorId="0" shapeId="0" xr:uid="{0B823893-43C4-440F-B750-17619ED057D1}">
      <text>
        <r>
          <rPr>
            <b/>
            <sz val="9"/>
            <color indexed="81"/>
            <rFont val="Tahoma"/>
            <family val="2"/>
          </rPr>
          <t>=IF([@Ticker]="","",PROPER(CIQ([@Ticker],"IQ_COMPANY_NAME")))</t>
        </r>
      </text>
    </comment>
    <comment ref="D17" authorId="0" shapeId="0" xr:uid="{3F70CFC1-930B-47B4-A790-49F8F3D4746B}">
      <text>
        <r>
          <rPr>
            <b/>
            <sz val="9"/>
            <color indexed="81"/>
            <rFont val="Tahoma"/>
            <family val="2"/>
          </rPr>
          <t>=IF([@Ticker]="","",IF(CIQ([@Ticker],"IQ_BUSINESS_DESCRIPTION")=0,"-",CIQ([@Ticker],"IQ_BUSINESS_DESCRIPTION")))</t>
        </r>
      </text>
    </comment>
    <comment ref="E17" authorId="0" shapeId="0" xr:uid="{6A95E169-F4F1-456A-AA16-7418529C552F}">
      <text>
        <r>
          <rPr>
            <b/>
            <sz val="9"/>
            <color indexed="81"/>
            <rFont val="Tahoma"/>
            <family val="2"/>
          </rPr>
          <t>=IF([@Ticker]="","",IFERROR(CIQ([@Ticker],"IQ_MARKETCAP",$C$5,$C$6)*$C$8,0))</t>
        </r>
      </text>
    </comment>
    <comment ref="F17" authorId="0" shapeId="0" xr:uid="{1E704AE4-E52F-422A-91F7-064BF5BE302A}">
      <text>
        <r>
          <rPr>
            <b/>
            <sz val="9"/>
            <color indexed="81"/>
            <rFont val="Tahoma"/>
            <family val="2"/>
          </rPr>
          <t>=IF([@Ticker]="","",IFERROR(CIQ([@Ticker],"IQ_EBIT_MARGIN",IQ_FY,$C$5)/100,"NA"))</t>
        </r>
      </text>
    </comment>
    <comment ref="H17" authorId="0" shapeId="0" xr:uid="{CBE4256F-F9BD-41A4-9E98-6715A13FB03D}">
      <text>
        <r>
          <rPr>
            <b/>
            <sz val="9"/>
            <color indexed="81"/>
            <rFont val="Tahoma"/>
            <family val="2"/>
          </rPr>
          <t>=IF([@Ticker]="","",CIQ([@Ticker],$I$5,$I$6,$C$5))</t>
        </r>
      </text>
    </comment>
    <comment ref="K17" authorId="0" shapeId="0" xr:uid="{20FBF3AF-3F15-4AE2-B91A-814C1C48BE72}">
      <text>
        <r>
          <rPr>
            <b/>
            <sz val="9"/>
            <color indexed="81"/>
            <rFont val="Tahoma"/>
            <family val="2"/>
          </rPr>
          <t>=IF([@Ticker]="","",CIQ([@Ticker],"IQ_CUSTOM_BETA","-"&amp;$F$5,$C$5,$F$6))</t>
        </r>
      </text>
    </comment>
    <comment ref="L17" authorId="0" shapeId="0" xr:uid="{0217A405-A25A-414B-AB67-437D77ADB374}">
      <text>
        <r>
          <rPr>
            <b/>
            <sz val="9"/>
            <color indexed="81"/>
            <rFont val="Tahoma"/>
            <family val="2"/>
          </rPr>
          <t>=IF([@Ticker]="","",IF($F$7="S",M17,IFERROR(CIQ([@Ticker],"IQ_EFFECT_TAX_RATE",IQ_FY,$C$5)/100,"NA")))</t>
        </r>
      </text>
    </comment>
    <comment ref="N17" authorId="0" shapeId="0" xr:uid="{0B7B1C79-0CEC-4AEB-8108-C516F34A083D}">
      <text>
        <r>
          <rPr>
            <b/>
            <sz val="9"/>
            <color indexed="81"/>
            <rFont val="Tahoma"/>
            <family val="2"/>
          </rPr>
          <t>=IF([@Ticker]="","",IFERROR(CIQ([@Ticker],"IQ_TOTAL_DEBT",IQ_FQ,$C$5,"LFR",,$C$6)*$C$8,0))</t>
        </r>
      </text>
    </comment>
    <comment ref="O17" authorId="0" shapeId="0" xr:uid="{7F6F6D14-1318-428B-8E8C-358360A05C28}">
      <text>
        <r>
          <rPr>
            <b/>
            <sz val="9"/>
            <color indexed="81"/>
            <rFont val="Tahoma"/>
            <family val="2"/>
          </rPr>
          <t>=IF([@Ticker]="","",IF(CIQ([@Ticker],"IQ_EXCHANGE")=0,"-",CIQ([@Ticker],"IQ_EXCHANGE")))</t>
        </r>
      </text>
    </comment>
    <comment ref="P17" authorId="0" shapeId="0" xr:uid="{24BA673E-E117-4D6C-8E3E-702E07DD03D1}">
      <text>
        <r>
          <rPr>
            <b/>
            <sz val="9"/>
            <color indexed="81"/>
            <rFont val="Tahoma"/>
            <family val="2"/>
          </rPr>
          <t>=IF([@Ticker]="","",IF(CIQ([@Ticker],"IQ_COUNTRY_NAME")=0,"-",CIQ([@Ticker],"IQ_COUNTRY_NAME")))</t>
        </r>
      </text>
    </comment>
    <comment ref="Q17" authorId="0" shapeId="0" xr:uid="{9478BB44-A5F2-45FB-90B7-2CF37C6CECE6}">
      <text>
        <r>
          <rPr>
            <b/>
            <sz val="9"/>
            <color indexed="81"/>
            <rFont val="Tahoma"/>
            <family val="2"/>
          </rPr>
          <t>=IF($C17="","",CIQ($C17,"IQ_PERIODDATE",IQ_FY,$C$5))</t>
        </r>
      </text>
    </comment>
    <comment ref="B18" authorId="0" shapeId="0" xr:uid="{1F66AA57-3801-430C-A37D-AF460971DC07}">
      <text>
        <r>
          <rPr>
            <b/>
            <sz val="9"/>
            <color indexed="81"/>
            <rFont val="Tahoma"/>
            <family val="2"/>
          </rPr>
          <t>=IF([@Ticker]="","",PROPER(CIQ([@Ticker],"IQ_COMPANY_NAME")))</t>
        </r>
      </text>
    </comment>
    <comment ref="D18" authorId="0" shapeId="0" xr:uid="{47AC5D8D-C68B-41B7-855B-B4CB114D0848}">
      <text>
        <r>
          <rPr>
            <b/>
            <sz val="9"/>
            <color indexed="81"/>
            <rFont val="Tahoma"/>
            <family val="2"/>
          </rPr>
          <t>=IF([@Ticker]="","",IF(CIQ([@Ticker],"IQ_BUSINESS_DESCRIPTION")=0,"-",CIQ([@Ticker],"IQ_BUSINESS_DESCRIPTION")))</t>
        </r>
      </text>
    </comment>
    <comment ref="E18" authorId="0" shapeId="0" xr:uid="{6289C1EE-6DB8-490C-A64A-8CE859921AAC}">
      <text>
        <r>
          <rPr>
            <b/>
            <sz val="9"/>
            <color indexed="81"/>
            <rFont val="Tahoma"/>
            <family val="2"/>
          </rPr>
          <t>=IF([@Ticker]="","",IFERROR(CIQ([@Ticker],"IQ_MARKETCAP",$C$5,$C$6)*$C$8,0))</t>
        </r>
      </text>
    </comment>
    <comment ref="F18" authorId="0" shapeId="0" xr:uid="{773FB5DE-3565-4821-BC28-D409E4F9B7BD}">
      <text>
        <r>
          <rPr>
            <b/>
            <sz val="9"/>
            <color indexed="81"/>
            <rFont val="Tahoma"/>
            <family val="2"/>
          </rPr>
          <t>=IF([@Ticker]="","",IFERROR(CIQ([@Ticker],"IQ_EBIT_MARGIN",IQ_FY,$C$5)/100,"NA"))</t>
        </r>
      </text>
    </comment>
    <comment ref="H18" authorId="0" shapeId="0" xr:uid="{04585DEA-7C0F-4E95-AFC5-C91291D768AC}">
      <text>
        <r>
          <rPr>
            <b/>
            <sz val="9"/>
            <color indexed="81"/>
            <rFont val="Tahoma"/>
            <family val="2"/>
          </rPr>
          <t>=IF([@Ticker]="","",CIQ([@Ticker],$I$5,$I$6,$C$5))</t>
        </r>
      </text>
    </comment>
    <comment ref="K18" authorId="0" shapeId="0" xr:uid="{54F7C285-1270-4E55-957B-C494F4F3D19F}">
      <text>
        <r>
          <rPr>
            <b/>
            <sz val="9"/>
            <color indexed="81"/>
            <rFont val="Tahoma"/>
            <family val="2"/>
          </rPr>
          <t>=IF([@Ticker]="","",CIQ([@Ticker],"IQ_CUSTOM_BETA","-"&amp;$F$5,$C$5,$F$6))</t>
        </r>
      </text>
    </comment>
    <comment ref="L18" authorId="0" shapeId="0" xr:uid="{AC569C5D-ED3B-4372-B5A4-826188337876}">
      <text>
        <r>
          <rPr>
            <b/>
            <sz val="9"/>
            <color indexed="81"/>
            <rFont val="Tahoma"/>
            <family val="2"/>
          </rPr>
          <t>=IF([@Ticker]="","",IF($F$7="S",M18,IFERROR(CIQ([@Ticker],"IQ_EFFECT_TAX_RATE",IQ_FY,$C$5)/100,"NA")))</t>
        </r>
      </text>
    </comment>
    <comment ref="N18" authorId="0" shapeId="0" xr:uid="{88733A76-2005-41FF-A9F3-6029D66E6F2E}">
      <text>
        <r>
          <rPr>
            <b/>
            <sz val="9"/>
            <color indexed="81"/>
            <rFont val="Tahoma"/>
            <family val="2"/>
          </rPr>
          <t>=IF([@Ticker]="","",IFERROR(CIQ([@Ticker],"IQ_TOTAL_DEBT",IQ_FQ,$C$5,"LFR",,$C$6)*$C$8,0))</t>
        </r>
      </text>
    </comment>
    <comment ref="O18" authorId="0" shapeId="0" xr:uid="{24F34174-1F85-41A1-8BAE-E3A6561B593B}">
      <text>
        <r>
          <rPr>
            <b/>
            <sz val="9"/>
            <color indexed="81"/>
            <rFont val="Tahoma"/>
            <family val="2"/>
          </rPr>
          <t>=IF([@Ticker]="","",IF(CIQ([@Ticker],"IQ_EXCHANGE")=0,"-",CIQ([@Ticker],"IQ_EXCHANGE")))</t>
        </r>
      </text>
    </comment>
    <comment ref="P18" authorId="0" shapeId="0" xr:uid="{17E55BD9-72D7-4EE0-808C-18E94C373809}">
      <text>
        <r>
          <rPr>
            <b/>
            <sz val="9"/>
            <color indexed="81"/>
            <rFont val="Tahoma"/>
            <family val="2"/>
          </rPr>
          <t>=IF([@Ticker]="","",IF(CIQ([@Ticker],"IQ_COUNTRY_NAME")=0,"-",CIQ([@Ticker],"IQ_COUNTRY_NAME")))</t>
        </r>
      </text>
    </comment>
    <comment ref="Q18" authorId="0" shapeId="0" xr:uid="{40681A48-4321-49BA-88CC-5D810F35809D}">
      <text>
        <r>
          <rPr>
            <b/>
            <sz val="9"/>
            <color indexed="81"/>
            <rFont val="Tahoma"/>
            <family val="2"/>
          </rPr>
          <t>=IF($C18="","",CIQ($C18,"IQ_PERIODDATE",IQ_FY,$C$5))</t>
        </r>
      </text>
    </comment>
    <comment ref="B19" authorId="0" shapeId="0" xr:uid="{FDDDA7C3-9BFF-457B-BBE2-2F46D4501C8E}">
      <text>
        <r>
          <rPr>
            <b/>
            <sz val="9"/>
            <color indexed="81"/>
            <rFont val="Tahoma"/>
            <family val="2"/>
          </rPr>
          <t>=IF([@Ticker]="","",PROPER(CIQ([@Ticker],"IQ_COMPANY_NAME")))</t>
        </r>
      </text>
    </comment>
    <comment ref="D19" authorId="0" shapeId="0" xr:uid="{5ECA4BBD-63A8-4A6A-87BD-13F66B0E5885}">
      <text>
        <r>
          <rPr>
            <b/>
            <sz val="9"/>
            <color indexed="81"/>
            <rFont val="Tahoma"/>
            <family val="2"/>
          </rPr>
          <t>=IF([@Ticker]="","",IF(CIQ([@Ticker],"IQ_BUSINESS_DESCRIPTION")=0,"-",CIQ([@Ticker],"IQ_BUSINESS_DESCRIPTION")))</t>
        </r>
      </text>
    </comment>
    <comment ref="E19" authorId="0" shapeId="0" xr:uid="{246BBAAE-7733-47FA-A9BD-EBC6F3D878C2}">
      <text>
        <r>
          <rPr>
            <b/>
            <sz val="9"/>
            <color indexed="81"/>
            <rFont val="Tahoma"/>
            <family val="2"/>
          </rPr>
          <t>=IF([@Ticker]="","",IFERROR(CIQ([@Ticker],"IQ_MARKETCAP",$C$5,$C$6)*$C$8,0))</t>
        </r>
      </text>
    </comment>
    <comment ref="F19" authorId="0" shapeId="0" xr:uid="{39F628FF-E2E2-4970-97B5-96BC84E11BB8}">
      <text>
        <r>
          <rPr>
            <b/>
            <sz val="9"/>
            <color indexed="81"/>
            <rFont val="Tahoma"/>
            <family val="2"/>
          </rPr>
          <t>=IF([@Ticker]="","",IFERROR(CIQ([@Ticker],"IQ_EBIT_MARGIN",IQ_FY,$C$5)/100,"NA"))</t>
        </r>
      </text>
    </comment>
    <comment ref="H19" authorId="0" shapeId="0" xr:uid="{12368B8B-C1C1-42D3-9BD1-39F7232AFD85}">
      <text>
        <r>
          <rPr>
            <b/>
            <sz val="9"/>
            <color indexed="81"/>
            <rFont val="Tahoma"/>
            <family val="2"/>
          </rPr>
          <t>=IF([@Ticker]="","",CIQ([@Ticker],$I$5,$I$6,$C$5))</t>
        </r>
      </text>
    </comment>
    <comment ref="K19" authorId="0" shapeId="0" xr:uid="{8D019861-1BF7-4119-85C5-5C584D4A3CAE}">
      <text>
        <r>
          <rPr>
            <b/>
            <sz val="9"/>
            <color indexed="81"/>
            <rFont val="Tahoma"/>
            <family val="2"/>
          </rPr>
          <t>=IF([@Ticker]="","",CIQ([@Ticker],"IQ_CUSTOM_BETA","-"&amp;$F$5,$C$5,$F$6))</t>
        </r>
      </text>
    </comment>
    <comment ref="L19" authorId="0" shapeId="0" xr:uid="{32A676E2-BE61-4A12-B967-8230E765E0C3}">
      <text>
        <r>
          <rPr>
            <b/>
            <sz val="9"/>
            <color indexed="81"/>
            <rFont val="Tahoma"/>
            <family val="2"/>
          </rPr>
          <t>=IF([@Ticker]="","",IF($F$7="S",M19,IFERROR(CIQ([@Ticker],"IQ_EFFECT_TAX_RATE",IQ_FY,$C$5)/100,"NA")))</t>
        </r>
      </text>
    </comment>
    <comment ref="N19" authorId="0" shapeId="0" xr:uid="{81136065-4162-4708-8A4C-0CFE2464C3D2}">
      <text>
        <r>
          <rPr>
            <b/>
            <sz val="9"/>
            <color indexed="81"/>
            <rFont val="Tahoma"/>
            <family val="2"/>
          </rPr>
          <t>=IF([@Ticker]="","",IFERROR(CIQ([@Ticker],"IQ_TOTAL_DEBT",IQ_FQ,$C$5,"LFR",,$C$6)*$C$8,0))</t>
        </r>
      </text>
    </comment>
    <comment ref="O19" authorId="0" shapeId="0" xr:uid="{EE9F34AB-C753-416A-926B-72FB9D9B02A8}">
      <text>
        <r>
          <rPr>
            <b/>
            <sz val="9"/>
            <color indexed="81"/>
            <rFont val="Tahoma"/>
            <family val="2"/>
          </rPr>
          <t>=IF([@Ticker]="","",IF(CIQ([@Ticker],"IQ_EXCHANGE")=0,"-",CIQ([@Ticker],"IQ_EXCHANGE")))</t>
        </r>
      </text>
    </comment>
    <comment ref="P19" authorId="0" shapeId="0" xr:uid="{5882E624-146C-4853-9879-89FA4C30AA87}">
      <text>
        <r>
          <rPr>
            <b/>
            <sz val="9"/>
            <color indexed="81"/>
            <rFont val="Tahoma"/>
            <family val="2"/>
          </rPr>
          <t>=IF([@Ticker]="","",IF(CIQ([@Ticker],"IQ_COUNTRY_NAME")=0,"-",CIQ([@Ticker],"IQ_COUNTRY_NAME")))</t>
        </r>
      </text>
    </comment>
    <comment ref="Q19" authorId="0" shapeId="0" xr:uid="{C28F97EF-ED4B-454A-BE07-865EE56205D2}">
      <text>
        <r>
          <rPr>
            <b/>
            <sz val="9"/>
            <color indexed="81"/>
            <rFont val="Tahoma"/>
            <family val="2"/>
          </rPr>
          <t>=IF($C19="","",CIQ($C19,"IQ_PERIODDATE",IQ_FY,$C$5))</t>
        </r>
      </text>
    </comment>
    <comment ref="B20" authorId="0" shapeId="0" xr:uid="{506199B6-C4A1-435D-A5A1-6DD46DE5AE84}">
      <text>
        <r>
          <rPr>
            <b/>
            <sz val="9"/>
            <color indexed="81"/>
            <rFont val="Tahoma"/>
            <family val="2"/>
          </rPr>
          <t>=IF([@Ticker]="","",PROPER(CIQ([@Ticker],"IQ_COMPANY_NAME")))</t>
        </r>
      </text>
    </comment>
    <comment ref="D20" authorId="0" shapeId="0" xr:uid="{67AF5343-EF5A-4AED-B64C-6FDF20F1F2B6}">
      <text>
        <r>
          <rPr>
            <b/>
            <sz val="9"/>
            <color indexed="81"/>
            <rFont val="Tahoma"/>
            <family val="2"/>
          </rPr>
          <t>=IF([@Ticker]="","",IF(CIQ([@Ticker],"IQ_BUSINESS_DESCRIPTION")=0,"-",CIQ([@Ticker],"IQ_BUSINESS_DESCRIPTION")))</t>
        </r>
      </text>
    </comment>
    <comment ref="E20" authorId="0" shapeId="0" xr:uid="{B07AED22-4A28-4D33-ABB4-091CDA47B4E1}">
      <text>
        <r>
          <rPr>
            <b/>
            <sz val="9"/>
            <color indexed="81"/>
            <rFont val="Tahoma"/>
            <family val="2"/>
          </rPr>
          <t>=IF([@Ticker]="","",IFERROR(CIQ([@Ticker],"IQ_MARKETCAP",$C$5,$C$6)*$C$8,0))</t>
        </r>
      </text>
    </comment>
    <comment ref="F20" authorId="0" shapeId="0" xr:uid="{3CAC5621-4947-4B20-935D-75C678E8250C}">
      <text>
        <r>
          <rPr>
            <b/>
            <sz val="9"/>
            <color indexed="81"/>
            <rFont val="Tahoma"/>
            <family val="2"/>
          </rPr>
          <t>=IF([@Ticker]="","",IFERROR(CIQ([@Ticker],"IQ_EBIT_MARGIN",IQ_FY,$C$5)/100,"NA"))</t>
        </r>
      </text>
    </comment>
    <comment ref="H20" authorId="0" shapeId="0" xr:uid="{BE092996-73CF-4CFB-AB8B-E2B009703249}">
      <text>
        <r>
          <rPr>
            <b/>
            <sz val="9"/>
            <color indexed="81"/>
            <rFont val="Tahoma"/>
            <family val="2"/>
          </rPr>
          <t>=IF([@Ticker]="","",CIQ([@Ticker],$I$5,$I$6,$C$5))</t>
        </r>
      </text>
    </comment>
    <comment ref="K20" authorId="0" shapeId="0" xr:uid="{DC34DCED-EB3D-4FA7-9B7A-539B189AB8B4}">
      <text>
        <r>
          <rPr>
            <b/>
            <sz val="9"/>
            <color indexed="81"/>
            <rFont val="Tahoma"/>
            <family val="2"/>
          </rPr>
          <t>=IF([@Ticker]="","",CIQ([@Ticker],"IQ_CUSTOM_BETA","-"&amp;$F$5,$C$5,$F$6))</t>
        </r>
      </text>
    </comment>
    <comment ref="L20" authorId="0" shapeId="0" xr:uid="{1376EF71-DF35-45FE-9FCC-0DBDDF5B02B8}">
      <text>
        <r>
          <rPr>
            <b/>
            <sz val="9"/>
            <color indexed="81"/>
            <rFont val="Tahoma"/>
            <family val="2"/>
          </rPr>
          <t>=IF([@Ticker]="","",IF($F$7="S",M20,IFERROR(CIQ([@Ticker],"IQ_EFFECT_TAX_RATE",IQ_FY,$C$5)/100,"NA")))</t>
        </r>
      </text>
    </comment>
    <comment ref="N20" authorId="0" shapeId="0" xr:uid="{20DB7B53-D2A5-468B-9BF0-D2AB7ECA4329}">
      <text>
        <r>
          <rPr>
            <b/>
            <sz val="9"/>
            <color indexed="81"/>
            <rFont val="Tahoma"/>
            <family val="2"/>
          </rPr>
          <t>=IF([@Ticker]="","",IFERROR(CIQ([@Ticker],"IQ_TOTAL_DEBT",IQ_FQ,$C$5,"LFR",,$C$6)*$C$8,0))</t>
        </r>
      </text>
    </comment>
    <comment ref="O20" authorId="0" shapeId="0" xr:uid="{5217FF00-9EA3-49F2-A9E7-73FB8690B8F4}">
      <text>
        <r>
          <rPr>
            <b/>
            <sz val="9"/>
            <color indexed="81"/>
            <rFont val="Tahoma"/>
            <family val="2"/>
          </rPr>
          <t>=IF([@Ticker]="","",IF(CIQ([@Ticker],"IQ_EXCHANGE")=0,"-",CIQ([@Ticker],"IQ_EXCHANGE")))</t>
        </r>
      </text>
    </comment>
    <comment ref="P20" authorId="0" shapeId="0" xr:uid="{EC70E796-B48C-40A1-B4FC-61E7027BC2F9}">
      <text>
        <r>
          <rPr>
            <b/>
            <sz val="9"/>
            <color indexed="81"/>
            <rFont val="Tahoma"/>
            <family val="2"/>
          </rPr>
          <t>=IF([@Ticker]="","",IF(CIQ([@Ticker],"IQ_COUNTRY_NAME")=0,"-",CIQ([@Ticker],"IQ_COUNTRY_NAME")))</t>
        </r>
      </text>
    </comment>
    <comment ref="Q20" authorId="0" shapeId="0" xr:uid="{2865C39D-669C-4F94-A8BF-B82F9B2DBC10}">
      <text>
        <r>
          <rPr>
            <b/>
            <sz val="9"/>
            <color indexed="81"/>
            <rFont val="Tahoma"/>
            <family val="2"/>
          </rPr>
          <t>=IF($C20="","",CIQ($C20,"IQ_PERIODDATE",IQ_FY,$C$5))</t>
        </r>
      </text>
    </comment>
    <comment ref="B21" authorId="0" shapeId="0" xr:uid="{C7F4265C-C2A4-48DB-874F-CAA143673B27}">
      <text>
        <r>
          <rPr>
            <b/>
            <sz val="9"/>
            <color indexed="81"/>
            <rFont val="Tahoma"/>
            <family val="2"/>
          </rPr>
          <t>=IF([@Ticker]="","",PROPER(CIQ([@Ticker],"IQ_COMPANY_NAME")))</t>
        </r>
      </text>
    </comment>
    <comment ref="D21" authorId="0" shapeId="0" xr:uid="{2DA2B76C-4178-429D-B983-BFC07DA3D815}">
      <text>
        <r>
          <rPr>
            <b/>
            <sz val="9"/>
            <color indexed="81"/>
            <rFont val="Tahoma"/>
            <family val="2"/>
          </rPr>
          <t>=IF([@Ticker]="","",IF(CIQ([@Ticker],"IQ_BUSINESS_DESCRIPTION")=0,"-",CIQ([@Ticker],"IQ_BUSINESS_DESCRIPTION")))</t>
        </r>
      </text>
    </comment>
    <comment ref="E21" authorId="0" shapeId="0" xr:uid="{6C372F7D-EDA5-41A7-A33D-FC5AA6DD12EB}">
      <text>
        <r>
          <rPr>
            <b/>
            <sz val="9"/>
            <color indexed="81"/>
            <rFont val="Tahoma"/>
            <family val="2"/>
          </rPr>
          <t>=IF([@Ticker]="","",IFERROR(CIQ([@Ticker],"IQ_MARKETCAP",$C$5,$C$6)*$C$8,0))</t>
        </r>
      </text>
    </comment>
    <comment ref="F21" authorId="0" shapeId="0" xr:uid="{BA39D5D8-55F2-4A00-A51C-8A5C1B1CD374}">
      <text>
        <r>
          <rPr>
            <b/>
            <sz val="9"/>
            <color indexed="81"/>
            <rFont val="Tahoma"/>
            <family val="2"/>
          </rPr>
          <t>=IF([@Ticker]="","",IFERROR(CIQ([@Ticker],"IQ_EBIT_MARGIN",IQ_FY,$C$5)/100,"NA"))</t>
        </r>
      </text>
    </comment>
    <comment ref="H21" authorId="0" shapeId="0" xr:uid="{10BB8892-9250-4B4A-A9C4-781C4A8BC1CC}">
      <text>
        <r>
          <rPr>
            <b/>
            <sz val="9"/>
            <color indexed="81"/>
            <rFont val="Tahoma"/>
            <family val="2"/>
          </rPr>
          <t>=IF([@Ticker]="","",CIQ([@Ticker],$I$5,$I$6,$C$5))</t>
        </r>
      </text>
    </comment>
    <comment ref="K21" authorId="0" shapeId="0" xr:uid="{9CB18820-2CAD-46D2-97D4-B64FEE65F825}">
      <text>
        <r>
          <rPr>
            <b/>
            <sz val="9"/>
            <color indexed="81"/>
            <rFont val="Tahoma"/>
            <family val="2"/>
          </rPr>
          <t>=IF([@Ticker]="","",CIQ([@Ticker],"IQ_CUSTOM_BETA","-"&amp;$F$5,$C$5,$F$6))</t>
        </r>
      </text>
    </comment>
    <comment ref="L21" authorId="0" shapeId="0" xr:uid="{AB16D60B-14D4-490F-A5F7-094132C8966B}">
      <text>
        <r>
          <rPr>
            <b/>
            <sz val="9"/>
            <color indexed="81"/>
            <rFont val="Tahoma"/>
            <family val="2"/>
          </rPr>
          <t>=IF([@Ticker]="","",IF($F$7="S",M21,IFERROR(CIQ([@Ticker],"IQ_EFFECT_TAX_RATE",IQ_FY,$C$5)/100,"NA")))</t>
        </r>
      </text>
    </comment>
    <comment ref="N21" authorId="0" shapeId="0" xr:uid="{C99A95F3-83EC-4507-BF45-E43A772BFA1A}">
      <text>
        <r>
          <rPr>
            <b/>
            <sz val="9"/>
            <color indexed="81"/>
            <rFont val="Tahoma"/>
            <family val="2"/>
          </rPr>
          <t>=IF([@Ticker]="","",IFERROR(CIQ([@Ticker],"IQ_TOTAL_DEBT",IQ_FQ,$C$5,"LFR",,$C$6)*$C$8,0))</t>
        </r>
      </text>
    </comment>
    <comment ref="O21" authorId="0" shapeId="0" xr:uid="{B83E6241-178F-4216-A78A-2B4B0926C214}">
      <text>
        <r>
          <rPr>
            <b/>
            <sz val="9"/>
            <color indexed="81"/>
            <rFont val="Tahoma"/>
            <family val="2"/>
          </rPr>
          <t>=IF([@Ticker]="","",IF(CIQ([@Ticker],"IQ_EXCHANGE")=0,"-",CIQ([@Ticker],"IQ_EXCHANGE")))</t>
        </r>
      </text>
    </comment>
    <comment ref="P21" authorId="0" shapeId="0" xr:uid="{6B37AA95-176D-42B0-B792-56FCB161AF91}">
      <text>
        <r>
          <rPr>
            <b/>
            <sz val="9"/>
            <color indexed="81"/>
            <rFont val="Tahoma"/>
            <family val="2"/>
          </rPr>
          <t>=IF([@Ticker]="","",IF(CIQ([@Ticker],"IQ_COUNTRY_NAME")=0,"-",CIQ([@Ticker],"IQ_COUNTRY_NAME")))</t>
        </r>
      </text>
    </comment>
    <comment ref="Q21" authorId="0" shapeId="0" xr:uid="{18891FB0-1164-4673-8E35-E7E74806970A}">
      <text>
        <r>
          <rPr>
            <b/>
            <sz val="9"/>
            <color indexed="81"/>
            <rFont val="Tahoma"/>
            <family val="2"/>
          </rPr>
          <t>=IF($C21="","",CIQ($C21,"IQ_PERIODDATE",IQ_FY,$C$5))</t>
        </r>
      </text>
    </comment>
    <comment ref="B22" authorId="0" shapeId="0" xr:uid="{F15EB4E6-40D9-4CDE-8B95-06B987378AB6}">
      <text>
        <r>
          <rPr>
            <b/>
            <sz val="9"/>
            <color indexed="81"/>
            <rFont val="Tahoma"/>
            <family val="2"/>
          </rPr>
          <t>=IF([@Ticker]="","",PROPER(CIQ([@Ticker],"IQ_COMPANY_NAME")))</t>
        </r>
      </text>
    </comment>
    <comment ref="D22" authorId="0" shapeId="0" xr:uid="{68FFCDF3-1BE8-46FB-978B-EAD6BFFAF5E0}">
      <text>
        <r>
          <rPr>
            <b/>
            <sz val="9"/>
            <color indexed="81"/>
            <rFont val="Tahoma"/>
            <family val="2"/>
          </rPr>
          <t>=IF([@Ticker]="","",IF(CIQ([@Ticker],"IQ_BUSINESS_DESCRIPTION")=0,"-",CIQ([@Ticker],"IQ_BUSINESS_DESCRIPTION")))</t>
        </r>
      </text>
    </comment>
    <comment ref="E22" authorId="0" shapeId="0" xr:uid="{148E8591-F847-4886-8873-984A81D53BAD}">
      <text>
        <r>
          <rPr>
            <b/>
            <sz val="9"/>
            <color indexed="81"/>
            <rFont val="Tahoma"/>
            <family val="2"/>
          </rPr>
          <t>=IF([@Ticker]="","",IFERROR(CIQ([@Ticker],"IQ_MARKETCAP",$C$5,$C$6)*$C$8,0))</t>
        </r>
      </text>
    </comment>
    <comment ref="F22" authorId="0" shapeId="0" xr:uid="{1FA1E784-1AF3-4ED1-90C0-08A9E603AF07}">
      <text>
        <r>
          <rPr>
            <b/>
            <sz val="9"/>
            <color indexed="81"/>
            <rFont val="Tahoma"/>
            <family val="2"/>
          </rPr>
          <t>=IF([@Ticker]="","",IFERROR(CIQ([@Ticker],"IQ_EBIT_MARGIN",IQ_FY,$C$5)/100,"NA"))</t>
        </r>
      </text>
    </comment>
    <comment ref="H22" authorId="0" shapeId="0" xr:uid="{EBEE482C-55FF-4536-ABEA-110DE48A2E98}">
      <text>
        <r>
          <rPr>
            <b/>
            <sz val="9"/>
            <color indexed="81"/>
            <rFont val="Tahoma"/>
            <family val="2"/>
          </rPr>
          <t>=IF([@Ticker]="","",CIQ([@Ticker],$I$5,$I$6,$C$5))</t>
        </r>
      </text>
    </comment>
    <comment ref="K22" authorId="0" shapeId="0" xr:uid="{3BA0E988-431C-4655-8D3E-C09BA7CF9FB8}">
      <text>
        <r>
          <rPr>
            <b/>
            <sz val="9"/>
            <color indexed="81"/>
            <rFont val="Tahoma"/>
            <family val="2"/>
          </rPr>
          <t>=IF([@Ticker]="","",CIQ([@Ticker],"IQ_CUSTOM_BETA","-"&amp;$F$5,$C$5,$F$6))</t>
        </r>
      </text>
    </comment>
    <comment ref="L22" authorId="0" shapeId="0" xr:uid="{FD0EC582-EB0A-4C08-BFB4-3C2E2C816A61}">
      <text>
        <r>
          <rPr>
            <b/>
            <sz val="9"/>
            <color indexed="81"/>
            <rFont val="Tahoma"/>
            <family val="2"/>
          </rPr>
          <t>=IF([@Ticker]="","",IF($F$7="S",M22,IFERROR(CIQ([@Ticker],"IQ_EFFECT_TAX_RATE",IQ_FY,$C$5)/100,"NA")))</t>
        </r>
      </text>
    </comment>
    <comment ref="N22" authorId="0" shapeId="0" xr:uid="{1E3F14E0-3550-4763-8F7D-1E10DF2CBAEA}">
      <text>
        <r>
          <rPr>
            <b/>
            <sz val="9"/>
            <color indexed="81"/>
            <rFont val="Tahoma"/>
            <family val="2"/>
          </rPr>
          <t>=IF([@Ticker]="","",IFERROR(CIQ([@Ticker],"IQ_TOTAL_DEBT",IQ_FQ,$C$5,"LFR",,$C$6)*$C$8,0))</t>
        </r>
      </text>
    </comment>
    <comment ref="O22" authorId="0" shapeId="0" xr:uid="{C728714C-C065-402F-9BFC-32863E9E2C16}">
      <text>
        <r>
          <rPr>
            <b/>
            <sz val="9"/>
            <color indexed="81"/>
            <rFont val="Tahoma"/>
            <family val="2"/>
          </rPr>
          <t>=IF([@Ticker]="","",IF(CIQ([@Ticker],"IQ_EXCHANGE")=0,"-",CIQ([@Ticker],"IQ_EXCHANGE")))</t>
        </r>
      </text>
    </comment>
    <comment ref="P22" authorId="0" shapeId="0" xr:uid="{F8D4C282-F40B-4E76-8059-8179BA373135}">
      <text>
        <r>
          <rPr>
            <b/>
            <sz val="9"/>
            <color indexed="81"/>
            <rFont val="Tahoma"/>
            <family val="2"/>
          </rPr>
          <t>=IF([@Ticker]="","",IF(CIQ([@Ticker],"IQ_COUNTRY_NAME")=0,"-",CIQ([@Ticker],"IQ_COUNTRY_NAME")))</t>
        </r>
      </text>
    </comment>
    <comment ref="Q22" authorId="0" shapeId="0" xr:uid="{C1EF17F8-A54A-43B6-8861-A3599B34D264}">
      <text>
        <r>
          <rPr>
            <b/>
            <sz val="9"/>
            <color indexed="81"/>
            <rFont val="Tahoma"/>
            <family val="2"/>
          </rPr>
          <t>=IF($C22="","",CIQ($C22,"IQ_PERIODDATE",IQ_FY,$C$5))</t>
        </r>
      </text>
    </comment>
    <comment ref="B23" authorId="0" shapeId="0" xr:uid="{C4A60A14-2787-4F30-971F-7A2596AA3D3A}">
      <text>
        <r>
          <rPr>
            <b/>
            <sz val="9"/>
            <color indexed="81"/>
            <rFont val="Tahoma"/>
            <family val="2"/>
          </rPr>
          <t>=IF([@Ticker]="","",PROPER(CIQ([@Ticker],"IQ_COMPANY_NAME")))</t>
        </r>
      </text>
    </comment>
    <comment ref="D23" authorId="0" shapeId="0" xr:uid="{B62CD7EA-FE20-49BF-B41D-96D2541243A2}">
      <text>
        <r>
          <rPr>
            <b/>
            <sz val="9"/>
            <color indexed="81"/>
            <rFont val="Tahoma"/>
            <family val="2"/>
          </rPr>
          <t>=IF([@Ticker]="","",IF(CIQ([@Ticker],"IQ_BUSINESS_DESCRIPTION")=0,"-",CIQ([@Ticker],"IQ_BUSINESS_DESCRIPTION")))</t>
        </r>
      </text>
    </comment>
    <comment ref="E23" authorId="0" shapeId="0" xr:uid="{B98B015C-4511-4DAE-88D5-D541FBC57A6E}">
      <text>
        <r>
          <rPr>
            <b/>
            <sz val="9"/>
            <color indexed="81"/>
            <rFont val="Tahoma"/>
            <family val="2"/>
          </rPr>
          <t>=IF([@Ticker]="","",IFERROR(CIQ([@Ticker],"IQ_MARKETCAP",$C$5,$C$6)*$C$8,0))</t>
        </r>
      </text>
    </comment>
    <comment ref="F23" authorId="0" shapeId="0" xr:uid="{7B082364-E72C-43E2-94B0-9981D21F2019}">
      <text>
        <r>
          <rPr>
            <b/>
            <sz val="9"/>
            <color indexed="81"/>
            <rFont val="Tahoma"/>
            <family val="2"/>
          </rPr>
          <t>=IF([@Ticker]="","",IFERROR(CIQ([@Ticker],"IQ_EBIT_MARGIN",IQ_FY,$C$5)/100,"NA"))</t>
        </r>
      </text>
    </comment>
    <comment ref="H23" authorId="0" shapeId="0" xr:uid="{7B7206B8-3A97-49B5-9D92-458F1C760787}">
      <text>
        <r>
          <rPr>
            <b/>
            <sz val="9"/>
            <color indexed="81"/>
            <rFont val="Tahoma"/>
            <family val="2"/>
          </rPr>
          <t>=IF([@Ticker]="","",CIQ([@Ticker],$I$5,$I$6,$C$5))</t>
        </r>
      </text>
    </comment>
    <comment ref="K23" authorId="0" shapeId="0" xr:uid="{061A41AC-FA4F-498F-AAB6-5C6B0E90F78D}">
      <text>
        <r>
          <rPr>
            <b/>
            <sz val="9"/>
            <color indexed="81"/>
            <rFont val="Tahoma"/>
            <family val="2"/>
          </rPr>
          <t>=IF([@Ticker]="","",CIQ([@Ticker],"IQ_CUSTOM_BETA","-"&amp;$F$5,$C$5,$F$6))</t>
        </r>
      </text>
    </comment>
    <comment ref="L23" authorId="0" shapeId="0" xr:uid="{5D4EC685-3D67-41B0-8B85-729F0A78F8E4}">
      <text>
        <r>
          <rPr>
            <b/>
            <sz val="9"/>
            <color indexed="81"/>
            <rFont val="Tahoma"/>
            <family val="2"/>
          </rPr>
          <t>=IF([@Ticker]="","",IF($F$7="S",M23,IFERROR(CIQ([@Ticker],"IQ_EFFECT_TAX_RATE",IQ_FY,$C$5)/100,"NA")))</t>
        </r>
      </text>
    </comment>
    <comment ref="N23" authorId="0" shapeId="0" xr:uid="{7FE078CB-56C6-4265-A957-334CF92EB568}">
      <text>
        <r>
          <rPr>
            <b/>
            <sz val="9"/>
            <color indexed="81"/>
            <rFont val="Tahoma"/>
            <family val="2"/>
          </rPr>
          <t>=IF([@Ticker]="","",IFERROR(CIQ([@Ticker],"IQ_TOTAL_DEBT",IQ_FQ,$C$5,"LFR",,$C$6)*$C$8,0))</t>
        </r>
      </text>
    </comment>
    <comment ref="O23" authorId="0" shapeId="0" xr:uid="{E8559914-66D9-47DF-AF30-062242F928A5}">
      <text>
        <r>
          <rPr>
            <b/>
            <sz val="9"/>
            <color indexed="81"/>
            <rFont val="Tahoma"/>
            <family val="2"/>
          </rPr>
          <t>=IF([@Ticker]="","",IF(CIQ([@Ticker],"IQ_EXCHANGE")=0,"-",CIQ([@Ticker],"IQ_EXCHANGE")))</t>
        </r>
      </text>
    </comment>
    <comment ref="P23" authorId="0" shapeId="0" xr:uid="{9FF13874-2923-48FE-A587-EF6C12B032F2}">
      <text>
        <r>
          <rPr>
            <b/>
            <sz val="9"/>
            <color indexed="81"/>
            <rFont val="Tahoma"/>
            <family val="2"/>
          </rPr>
          <t>=IF([@Ticker]="","",IF(CIQ([@Ticker],"IQ_COUNTRY_NAME")=0,"-",CIQ([@Ticker],"IQ_COUNTRY_NAME")))</t>
        </r>
      </text>
    </comment>
    <comment ref="Q23" authorId="0" shapeId="0" xr:uid="{7D43F90C-F65F-4D89-A112-4F827E46094C}">
      <text>
        <r>
          <rPr>
            <b/>
            <sz val="9"/>
            <color indexed="81"/>
            <rFont val="Tahoma"/>
            <family val="2"/>
          </rPr>
          <t>=IF($C23="","",CIQ($C23,"IQ_PERIODDATE",IQ_FY,$C$5))</t>
        </r>
      </text>
    </comment>
    <comment ref="B24" authorId="0" shapeId="0" xr:uid="{22C80C62-1448-4C95-A9C7-D6C1C69EB3D9}">
      <text>
        <r>
          <rPr>
            <b/>
            <sz val="9"/>
            <color indexed="81"/>
            <rFont val="Tahoma"/>
            <family val="2"/>
          </rPr>
          <t>=IF([@Ticker]="","",PROPER(CIQ([@Ticker],"IQ_COMPANY_NAME")))</t>
        </r>
      </text>
    </comment>
    <comment ref="D24" authorId="0" shapeId="0" xr:uid="{F570FE13-A963-4369-9EBD-6E81F6C61109}">
      <text>
        <r>
          <rPr>
            <b/>
            <sz val="9"/>
            <color indexed="81"/>
            <rFont val="Tahoma"/>
            <family val="2"/>
          </rPr>
          <t>=IF([@Ticker]="","",IF(CIQ([@Ticker],"IQ_BUSINESS_DESCRIPTION")=0,"-",CIQ([@Ticker],"IQ_BUSINESS_DESCRIPTION")))</t>
        </r>
      </text>
    </comment>
    <comment ref="E24" authorId="0" shapeId="0" xr:uid="{3A504D1C-909C-4DB8-B18D-C8D7C766BEAB}">
      <text>
        <r>
          <rPr>
            <b/>
            <sz val="9"/>
            <color indexed="81"/>
            <rFont val="Tahoma"/>
            <family val="2"/>
          </rPr>
          <t>=IF([@Ticker]="","",IFERROR(CIQ([@Ticker],"IQ_MARKETCAP",$C$5,$C$6)*$C$8,0))</t>
        </r>
      </text>
    </comment>
    <comment ref="F24" authorId="0" shapeId="0" xr:uid="{1D8B5212-5DCE-45EE-8C96-3708BD2AD773}">
      <text>
        <r>
          <rPr>
            <b/>
            <sz val="9"/>
            <color indexed="81"/>
            <rFont val="Tahoma"/>
            <family val="2"/>
          </rPr>
          <t>=IF([@Ticker]="","",IFERROR(CIQ([@Ticker],"IQ_EBIT_MARGIN",IQ_FY,$C$5)/100,"NA"))</t>
        </r>
      </text>
    </comment>
    <comment ref="H24" authorId="0" shapeId="0" xr:uid="{907382E7-3923-4A39-82A3-BF4A68EC413E}">
      <text>
        <r>
          <rPr>
            <b/>
            <sz val="9"/>
            <color indexed="81"/>
            <rFont val="Tahoma"/>
            <family val="2"/>
          </rPr>
          <t>=IF([@Ticker]="","",CIQ([@Ticker],$I$5,$I$6,$C$5))</t>
        </r>
      </text>
    </comment>
    <comment ref="K24" authorId="0" shapeId="0" xr:uid="{F6EB3C10-0E82-4888-A96C-C64083373F34}">
      <text>
        <r>
          <rPr>
            <b/>
            <sz val="9"/>
            <color indexed="81"/>
            <rFont val="Tahoma"/>
            <family val="2"/>
          </rPr>
          <t>=IF([@Ticker]="","",CIQ([@Ticker],"IQ_CUSTOM_BETA","-"&amp;$F$5,$C$5,$F$6))</t>
        </r>
      </text>
    </comment>
    <comment ref="L24" authorId="0" shapeId="0" xr:uid="{470201AB-6E6F-45D1-BA98-2F7AFEF0E897}">
      <text>
        <r>
          <rPr>
            <b/>
            <sz val="9"/>
            <color indexed="81"/>
            <rFont val="Tahoma"/>
            <family val="2"/>
          </rPr>
          <t>=IF([@Ticker]="","",IF($F$7="S",M24,IFERROR(CIQ([@Ticker],"IQ_EFFECT_TAX_RATE",IQ_FY,$C$5)/100,"NA")))</t>
        </r>
      </text>
    </comment>
    <comment ref="N24" authorId="0" shapeId="0" xr:uid="{CB2420A2-C9D0-4A69-BD17-E515FC0CBA5D}">
      <text>
        <r>
          <rPr>
            <b/>
            <sz val="9"/>
            <color indexed="81"/>
            <rFont val="Tahoma"/>
            <family val="2"/>
          </rPr>
          <t>=IF([@Ticker]="","",IFERROR(CIQ([@Ticker],"IQ_TOTAL_DEBT",IQ_FQ,$C$5,"LFR",,$C$6)*$C$8,0))</t>
        </r>
      </text>
    </comment>
    <comment ref="O24" authorId="0" shapeId="0" xr:uid="{AD999678-EDF0-4ED1-9D80-0CE57AB5B133}">
      <text>
        <r>
          <rPr>
            <b/>
            <sz val="9"/>
            <color indexed="81"/>
            <rFont val="Tahoma"/>
            <family val="2"/>
          </rPr>
          <t>=IF([@Ticker]="","",IF(CIQ([@Ticker],"IQ_EXCHANGE")=0,"-",CIQ([@Ticker],"IQ_EXCHANGE")))</t>
        </r>
      </text>
    </comment>
    <comment ref="P24" authorId="0" shapeId="0" xr:uid="{3297321A-7DD9-4AD6-AA46-00661B5D1146}">
      <text>
        <r>
          <rPr>
            <b/>
            <sz val="9"/>
            <color indexed="81"/>
            <rFont val="Tahoma"/>
            <family val="2"/>
          </rPr>
          <t>=IF([@Ticker]="","",IF(CIQ([@Ticker],"IQ_COUNTRY_NAME")=0,"-",CIQ([@Ticker],"IQ_COUNTRY_NAME")))</t>
        </r>
      </text>
    </comment>
    <comment ref="Q24" authorId="0" shapeId="0" xr:uid="{58D51C66-2284-452A-964F-2489CB40F05F}">
      <text>
        <r>
          <rPr>
            <b/>
            <sz val="9"/>
            <color indexed="81"/>
            <rFont val="Tahoma"/>
            <family val="2"/>
          </rPr>
          <t>=IF($C24="","",CIQ($C24,"IQ_PERIODDATE",IQ_FY,$C$5))</t>
        </r>
      </text>
    </comment>
    <comment ref="B25" authorId="0" shapeId="0" xr:uid="{38AB38AA-212B-438F-A2A7-FAA713193560}">
      <text>
        <r>
          <rPr>
            <b/>
            <sz val="9"/>
            <color indexed="81"/>
            <rFont val="Tahoma"/>
            <family val="2"/>
          </rPr>
          <t>=IF([@Ticker]="","",PROPER(CIQ([@Ticker],"IQ_COMPANY_NAME")))</t>
        </r>
      </text>
    </comment>
    <comment ref="D25" authorId="0" shapeId="0" xr:uid="{3EFE87E0-5DDF-41D6-9FF8-133AFD026068}">
      <text>
        <r>
          <rPr>
            <b/>
            <sz val="9"/>
            <color indexed="81"/>
            <rFont val="Tahoma"/>
            <family val="2"/>
          </rPr>
          <t>=IF([@Ticker]="","",IF(CIQ([@Ticker],"IQ_BUSINESS_DESCRIPTION")=0,"-",CIQ([@Ticker],"IQ_BUSINESS_DESCRIPTION")))</t>
        </r>
      </text>
    </comment>
    <comment ref="E25" authorId="0" shapeId="0" xr:uid="{88BB0394-2937-43C6-8E0B-4F3A513C7CE2}">
      <text>
        <r>
          <rPr>
            <b/>
            <sz val="9"/>
            <color indexed="81"/>
            <rFont val="Tahoma"/>
            <family val="2"/>
          </rPr>
          <t>=IF([@Ticker]="","",IFERROR(CIQ([@Ticker],"IQ_MARKETCAP",$C$5,$C$6)*$C$8,0))</t>
        </r>
      </text>
    </comment>
    <comment ref="F25" authorId="0" shapeId="0" xr:uid="{EE6BFCEE-85C8-4F63-A900-47EB855AC8C7}">
      <text>
        <r>
          <rPr>
            <b/>
            <sz val="9"/>
            <color indexed="81"/>
            <rFont val="Tahoma"/>
            <family val="2"/>
          </rPr>
          <t>=IF([@Ticker]="","",IFERROR(CIQ([@Ticker],"IQ_EBIT_MARGIN",IQ_FY,$C$5)/100,"NA"))</t>
        </r>
      </text>
    </comment>
    <comment ref="H25" authorId="0" shapeId="0" xr:uid="{03D502DB-64B3-406F-9FB0-8BE0DC18D733}">
      <text>
        <r>
          <rPr>
            <b/>
            <sz val="9"/>
            <color indexed="81"/>
            <rFont val="Tahoma"/>
            <family val="2"/>
          </rPr>
          <t>=IF([@Ticker]="","",CIQ([@Ticker],$I$5,$I$6,$C$5))</t>
        </r>
      </text>
    </comment>
    <comment ref="K25" authorId="0" shapeId="0" xr:uid="{4F1BE88C-5722-4426-BCE8-E26A9D4A94D6}">
      <text>
        <r>
          <rPr>
            <b/>
            <sz val="9"/>
            <color indexed="81"/>
            <rFont val="Tahoma"/>
            <family val="2"/>
          </rPr>
          <t>=IF([@Ticker]="","",CIQ([@Ticker],"IQ_CUSTOM_BETA","-"&amp;$F$5,$C$5,$F$6))</t>
        </r>
      </text>
    </comment>
    <comment ref="L25" authorId="0" shapeId="0" xr:uid="{2576B16F-898F-4E3E-A71E-DAE84614478D}">
      <text>
        <r>
          <rPr>
            <b/>
            <sz val="9"/>
            <color indexed="81"/>
            <rFont val="Tahoma"/>
            <family val="2"/>
          </rPr>
          <t>=IF([@Ticker]="","",IF($F$7="S",M25,IFERROR(CIQ([@Ticker],"IQ_EFFECT_TAX_RATE",IQ_FY,$C$5)/100,"NA")))</t>
        </r>
      </text>
    </comment>
    <comment ref="N25" authorId="0" shapeId="0" xr:uid="{429E73F8-5937-4104-BFDC-664DADB8740A}">
      <text>
        <r>
          <rPr>
            <b/>
            <sz val="9"/>
            <color indexed="81"/>
            <rFont val="Tahoma"/>
            <family val="2"/>
          </rPr>
          <t>=IF([@Ticker]="","",IFERROR(CIQ([@Ticker],"IQ_TOTAL_DEBT",IQ_FQ,$C$5,"LFR",,$C$6)*$C$8,0))</t>
        </r>
      </text>
    </comment>
    <comment ref="O25" authorId="0" shapeId="0" xr:uid="{7981A203-AB9E-4653-8CD1-7040C97D4756}">
      <text>
        <r>
          <rPr>
            <b/>
            <sz val="9"/>
            <color indexed="81"/>
            <rFont val="Tahoma"/>
            <family val="2"/>
          </rPr>
          <t>=IF([@Ticker]="","",IF(CIQ([@Ticker],"IQ_EXCHANGE")=0,"-",CIQ([@Ticker],"IQ_EXCHANGE")))</t>
        </r>
      </text>
    </comment>
    <comment ref="P25" authorId="0" shapeId="0" xr:uid="{09C28118-91E0-44DA-8361-86AA66616F62}">
      <text>
        <r>
          <rPr>
            <b/>
            <sz val="9"/>
            <color indexed="81"/>
            <rFont val="Tahoma"/>
            <family val="2"/>
          </rPr>
          <t>=IF([@Ticker]="","",IF(CIQ([@Ticker],"IQ_COUNTRY_NAME")=0,"-",CIQ([@Ticker],"IQ_COUNTRY_NAME")))</t>
        </r>
      </text>
    </comment>
    <comment ref="Q25" authorId="0" shapeId="0" xr:uid="{8AB10D68-41CE-48C2-A02F-4DB0A58F7C5B}">
      <text>
        <r>
          <rPr>
            <b/>
            <sz val="9"/>
            <color indexed="81"/>
            <rFont val="Tahoma"/>
            <family val="2"/>
          </rPr>
          <t>=IF($C25="","",CIQ($C25,"IQ_PERIODDATE",IQ_FY,$C$5))</t>
        </r>
      </text>
    </comment>
    <comment ref="B26" authorId="0" shapeId="0" xr:uid="{FF5C9151-B7BA-4832-A50F-8C494C4193B9}">
      <text>
        <r>
          <rPr>
            <b/>
            <sz val="9"/>
            <color indexed="81"/>
            <rFont val="Tahoma"/>
            <family val="2"/>
          </rPr>
          <t>=IF([@Ticker]="","",PROPER(CIQ([@Ticker],"IQ_COMPANY_NAME")))</t>
        </r>
      </text>
    </comment>
    <comment ref="D26" authorId="0" shapeId="0" xr:uid="{BC8D2D47-A4C3-4DDC-A77C-754FB30C682C}">
      <text>
        <r>
          <rPr>
            <b/>
            <sz val="9"/>
            <color indexed="81"/>
            <rFont val="Tahoma"/>
            <family val="2"/>
          </rPr>
          <t>=IF([@Ticker]="","",IF(CIQ([@Ticker],"IQ_BUSINESS_DESCRIPTION")=0,"-",CIQ([@Ticker],"IQ_BUSINESS_DESCRIPTION")))</t>
        </r>
      </text>
    </comment>
    <comment ref="E26" authorId="0" shapeId="0" xr:uid="{CD0D4DF3-EEF7-4D74-8A4A-4D4BB89CD21D}">
      <text>
        <r>
          <rPr>
            <b/>
            <sz val="9"/>
            <color indexed="81"/>
            <rFont val="Tahoma"/>
            <family val="2"/>
          </rPr>
          <t>=IF([@Ticker]="","",IFERROR(CIQ([@Ticker],"IQ_MARKETCAP",$C$5,$C$6)*$C$8,0))</t>
        </r>
      </text>
    </comment>
    <comment ref="F26" authorId="0" shapeId="0" xr:uid="{17DD820F-46D2-4EFE-8BB8-43B8796BD308}">
      <text>
        <r>
          <rPr>
            <b/>
            <sz val="9"/>
            <color indexed="81"/>
            <rFont val="Tahoma"/>
            <family val="2"/>
          </rPr>
          <t>=IF([@Ticker]="","",IFERROR(CIQ([@Ticker],"IQ_EBIT_MARGIN",IQ_FY,$C$5)/100,"NA"))</t>
        </r>
      </text>
    </comment>
    <comment ref="H26" authorId="0" shapeId="0" xr:uid="{661A330C-3AD0-4F4C-A45D-690972D2E1D3}">
      <text>
        <r>
          <rPr>
            <b/>
            <sz val="9"/>
            <color indexed="81"/>
            <rFont val="Tahoma"/>
            <family val="2"/>
          </rPr>
          <t>=IF([@Ticker]="","",CIQ([@Ticker],$I$5,$I$6,$C$5))</t>
        </r>
      </text>
    </comment>
    <comment ref="K26" authorId="0" shapeId="0" xr:uid="{CC11BFCE-544B-4290-9A0A-D1C081F44590}">
      <text>
        <r>
          <rPr>
            <b/>
            <sz val="9"/>
            <color indexed="81"/>
            <rFont val="Tahoma"/>
            <family val="2"/>
          </rPr>
          <t>=IF([@Ticker]="","",CIQ([@Ticker],"IQ_CUSTOM_BETA","-"&amp;$F$5,$C$5,$F$6))</t>
        </r>
      </text>
    </comment>
    <comment ref="L26" authorId="0" shapeId="0" xr:uid="{DC7CF4B9-0113-411B-BCBD-FA12F49EEBC4}">
      <text>
        <r>
          <rPr>
            <b/>
            <sz val="9"/>
            <color indexed="81"/>
            <rFont val="Tahoma"/>
            <family val="2"/>
          </rPr>
          <t>=IF([@Ticker]="","",IF($F$7="S",M26,IFERROR(CIQ([@Ticker],"IQ_EFFECT_TAX_RATE",IQ_FY,$C$5)/100,"NA")))</t>
        </r>
      </text>
    </comment>
    <comment ref="N26" authorId="0" shapeId="0" xr:uid="{A1738279-6ED5-412A-834E-24477309AADD}">
      <text>
        <r>
          <rPr>
            <b/>
            <sz val="9"/>
            <color indexed="81"/>
            <rFont val="Tahoma"/>
            <family val="2"/>
          </rPr>
          <t>=IF([@Ticker]="","",IFERROR(CIQ([@Ticker],"IQ_TOTAL_DEBT",IQ_FQ,$C$5,"LFR",,$C$6)*$C$8,0))</t>
        </r>
      </text>
    </comment>
    <comment ref="O26" authorId="0" shapeId="0" xr:uid="{9D6E86EF-5468-45B5-9F9F-9C7E71ABBF6E}">
      <text>
        <r>
          <rPr>
            <b/>
            <sz val="9"/>
            <color indexed="81"/>
            <rFont val="Tahoma"/>
            <family val="2"/>
          </rPr>
          <t>=IF([@Ticker]="","",IF(CIQ([@Ticker],"IQ_EXCHANGE")=0,"-",CIQ([@Ticker],"IQ_EXCHANGE")))</t>
        </r>
      </text>
    </comment>
    <comment ref="P26" authorId="0" shapeId="0" xr:uid="{F01027B8-4813-45DF-B6AB-D0C29C5736B8}">
      <text>
        <r>
          <rPr>
            <b/>
            <sz val="9"/>
            <color indexed="81"/>
            <rFont val="Tahoma"/>
            <family val="2"/>
          </rPr>
          <t>=IF([@Ticker]="","",IF(CIQ([@Ticker],"IQ_COUNTRY_NAME")=0,"-",CIQ([@Ticker],"IQ_COUNTRY_NAME")))</t>
        </r>
      </text>
    </comment>
    <comment ref="Q26" authorId="0" shapeId="0" xr:uid="{53E2CD40-D7D6-4476-95A3-D43D5BC6EB77}">
      <text>
        <r>
          <rPr>
            <b/>
            <sz val="9"/>
            <color indexed="81"/>
            <rFont val="Tahoma"/>
            <family val="2"/>
          </rPr>
          <t>=IF($C26="","",CIQ($C26,"IQ_PERIODDATE",IQ_FY,$C$5))</t>
        </r>
      </text>
    </comment>
    <comment ref="B27" authorId="0" shapeId="0" xr:uid="{C6A790C1-4376-49C7-8CB4-B2BD2AEAF96C}">
      <text>
        <r>
          <rPr>
            <b/>
            <sz val="9"/>
            <color indexed="81"/>
            <rFont val="Tahoma"/>
            <family val="2"/>
          </rPr>
          <t>=IF([@Ticker]="","",PROPER(CIQ([@Ticker],"IQ_COMPANY_NAME")))</t>
        </r>
      </text>
    </comment>
    <comment ref="D27" authorId="0" shapeId="0" xr:uid="{B89455D6-CD1E-48F2-A536-F7671DFC2C3A}">
      <text>
        <r>
          <rPr>
            <b/>
            <sz val="9"/>
            <color indexed="81"/>
            <rFont val="Tahoma"/>
            <family val="2"/>
          </rPr>
          <t>=IF([@Ticker]="","",IF(CIQ([@Ticker],"IQ_BUSINESS_DESCRIPTION")=0,"-",CIQ([@Ticker],"IQ_BUSINESS_DESCRIPTION")))</t>
        </r>
      </text>
    </comment>
    <comment ref="E27" authorId="0" shapeId="0" xr:uid="{D059DEBE-213F-457E-B320-108863DE1D79}">
      <text>
        <r>
          <rPr>
            <b/>
            <sz val="9"/>
            <color indexed="81"/>
            <rFont val="Tahoma"/>
            <family val="2"/>
          </rPr>
          <t>=IF([@Ticker]="","",IFERROR(CIQ([@Ticker],"IQ_MARKETCAP",$C$5,$C$6)*$C$8,0))</t>
        </r>
      </text>
    </comment>
    <comment ref="F27" authorId="0" shapeId="0" xr:uid="{1D47067F-1950-4343-AA56-D9100B4D086C}">
      <text>
        <r>
          <rPr>
            <b/>
            <sz val="9"/>
            <color indexed="81"/>
            <rFont val="Tahoma"/>
            <family val="2"/>
          </rPr>
          <t>=IF([@Ticker]="","",IFERROR(CIQ([@Ticker],"IQ_EBIT_MARGIN",IQ_FY,$C$5)/100,"NA"))</t>
        </r>
      </text>
    </comment>
    <comment ref="H27" authorId="0" shapeId="0" xr:uid="{390CA32E-A365-4889-8CBE-AA0785A6627A}">
      <text>
        <r>
          <rPr>
            <b/>
            <sz val="9"/>
            <color indexed="81"/>
            <rFont val="Tahoma"/>
            <family val="2"/>
          </rPr>
          <t>=IF([@Ticker]="","",CIQ([@Ticker],$I$5,$I$6,$C$5))</t>
        </r>
      </text>
    </comment>
    <comment ref="K27" authorId="0" shapeId="0" xr:uid="{77A0A3CA-2F7F-4192-BA81-7AF51201CB47}">
      <text>
        <r>
          <rPr>
            <b/>
            <sz val="9"/>
            <color indexed="81"/>
            <rFont val="Tahoma"/>
            <family val="2"/>
          </rPr>
          <t>=IF([@Ticker]="","",CIQ([@Ticker],"IQ_CUSTOM_BETA","-"&amp;$F$5,$C$5,$F$6))</t>
        </r>
      </text>
    </comment>
    <comment ref="L27" authorId="0" shapeId="0" xr:uid="{4983ED6D-616D-40DF-842B-9D3AF7752E86}">
      <text>
        <r>
          <rPr>
            <b/>
            <sz val="9"/>
            <color indexed="81"/>
            <rFont val="Tahoma"/>
            <family val="2"/>
          </rPr>
          <t>=IF([@Ticker]="","",IF($F$7="S",M27,IFERROR(CIQ([@Ticker],"IQ_EFFECT_TAX_RATE",IQ_FY,$C$5)/100,"NA")))</t>
        </r>
      </text>
    </comment>
    <comment ref="N27" authorId="0" shapeId="0" xr:uid="{4E7F2614-6E6C-4D9A-9E37-FA5458C89A62}">
      <text>
        <r>
          <rPr>
            <b/>
            <sz val="9"/>
            <color indexed="81"/>
            <rFont val="Tahoma"/>
            <family val="2"/>
          </rPr>
          <t>=IF([@Ticker]="","",IFERROR(CIQ([@Ticker],"IQ_TOTAL_DEBT",IQ_FQ,$C$5,"LFR",,$C$6)*$C$8,0))</t>
        </r>
      </text>
    </comment>
    <comment ref="O27" authorId="0" shapeId="0" xr:uid="{13AB55F6-376E-4341-9C4E-76B5E6F82DD3}">
      <text>
        <r>
          <rPr>
            <b/>
            <sz val="9"/>
            <color indexed="81"/>
            <rFont val="Tahoma"/>
            <family val="2"/>
          </rPr>
          <t>=IF([@Ticker]="","",IF(CIQ([@Ticker],"IQ_EXCHANGE")=0,"-",CIQ([@Ticker],"IQ_EXCHANGE")))</t>
        </r>
      </text>
    </comment>
    <comment ref="P27" authorId="0" shapeId="0" xr:uid="{45CBC70A-3B2D-45AD-B0F5-6B9DDCDA9414}">
      <text>
        <r>
          <rPr>
            <b/>
            <sz val="9"/>
            <color indexed="81"/>
            <rFont val="Tahoma"/>
            <family val="2"/>
          </rPr>
          <t>=IF([@Ticker]="","",IF(CIQ([@Ticker],"IQ_COUNTRY_NAME")=0,"-",CIQ([@Ticker],"IQ_COUNTRY_NAME")))</t>
        </r>
      </text>
    </comment>
    <comment ref="Q27" authorId="0" shapeId="0" xr:uid="{4CAFAD52-C6C7-44FE-8B01-05FBECE1DABF}">
      <text>
        <r>
          <rPr>
            <b/>
            <sz val="9"/>
            <color indexed="81"/>
            <rFont val="Tahoma"/>
            <family val="2"/>
          </rPr>
          <t>=IF($C27="","",CIQ($C27,"IQ_PERIODDATE",IQ_FY,$C$5))</t>
        </r>
      </text>
    </comment>
    <comment ref="C44" authorId="1" shapeId="0" xr:uid="{28943A0E-C983-4996-8FAD-2393C46A944E}">
      <text>
        <t>[Threaded comment]
Your version of Excel allows you to read this threaded comment; however, any edits to it will get removed if the file is opened in a newer version of Excel. Learn more: https://go.microsoft.com/fwlink/?linkid=870924
Comment:
    Can more countries if needed. Expand row and add CIQ ID</t>
      </text>
    </comment>
    <comment ref="E46" authorId="0" shapeId="0" xr:uid="{17786A2D-B9C7-4314-A9F9-CFFC1ACEF556}">
      <text>
        <r>
          <rPr>
            <b/>
            <sz val="9"/>
            <color indexed="81"/>
            <rFont val="Tahoma"/>
            <family val="2"/>
          </rPr>
          <t>=IF($D46="","",IFERROR(CIQ($D46,"IQ_RATE_LEVEL",$C$5)/100,"NA"))</t>
        </r>
      </text>
    </comment>
    <comment ref="E47" authorId="0" shapeId="0" xr:uid="{9E7AA147-3DAF-4E95-B9B3-AC4E7CB47B56}">
      <text>
        <r>
          <rPr>
            <b/>
            <sz val="9"/>
            <color indexed="81"/>
            <rFont val="Tahoma"/>
            <family val="2"/>
          </rPr>
          <t>=IF($D47="","",IFERROR(CIQ($D47,"IQ_RATE_LEVEL",$C$5)/100,"NA"))</t>
        </r>
      </text>
    </comment>
    <comment ref="E48" authorId="0" shapeId="0" xr:uid="{8484ED85-D059-41BA-B6B7-61D99CFCA565}">
      <text>
        <r>
          <rPr>
            <b/>
            <sz val="9"/>
            <color indexed="81"/>
            <rFont val="Tahoma"/>
            <family val="2"/>
          </rPr>
          <t>=IF($D48="","",IFERROR(CIQ($D48,"IQ_RATE_LEVEL",$C$5)/100,"NA"))</t>
        </r>
      </text>
    </comment>
    <comment ref="E49" authorId="0" shapeId="0" xr:uid="{0D8A736E-BF59-4AFC-8ABC-38519169D6A8}">
      <text>
        <r>
          <rPr>
            <b/>
            <sz val="9"/>
            <color indexed="81"/>
            <rFont val="Tahoma"/>
            <family val="2"/>
          </rPr>
          <t>=IF($D49="","",IFERROR(CIQ($D49,"IQ_RATE_LEVEL",$C$5)/100,"NA"))</t>
        </r>
      </text>
    </comment>
    <comment ref="E50" authorId="0" shapeId="0" xr:uid="{DB3ADD2A-7A32-4234-A490-8D0BE170E112}">
      <text>
        <r>
          <rPr>
            <b/>
            <sz val="9"/>
            <color indexed="81"/>
            <rFont val="Tahoma"/>
            <family val="2"/>
          </rPr>
          <t>=IF($D50="","",IFERROR(CIQ($D50,"IQ_RATE_LEVEL",$C$5)/100,"NA"))</t>
        </r>
      </text>
    </comment>
    <comment ref="E51" authorId="0" shapeId="0" xr:uid="{9D2B745B-51E9-4BB9-AECC-66ECDCC65FB4}">
      <text>
        <r>
          <rPr>
            <b/>
            <sz val="9"/>
            <color indexed="81"/>
            <rFont val="Tahoma"/>
            <family val="2"/>
          </rPr>
          <t>=IF($D51="","",IFERROR(CIQ($D51,"IQ_RATE_LEVEL",$C$5)/100,"NA"))</t>
        </r>
      </text>
    </comment>
    <comment ref="E52" authorId="0" shapeId="0" xr:uid="{AC0BEBB3-6D62-4D28-B77B-ECA672CC8459}">
      <text>
        <r>
          <rPr>
            <b/>
            <sz val="9"/>
            <color indexed="81"/>
            <rFont val="Tahoma"/>
            <family val="2"/>
          </rPr>
          <t>=IF($D52="","",IFERROR(CIQ($D52,"IQ_RATE_LEVEL",$C$5)/100,"NA"))</t>
        </r>
      </text>
    </comment>
    <comment ref="E53" authorId="0" shapeId="0" xr:uid="{305ADF0C-034A-4C0D-AE39-0898DAB123E9}">
      <text>
        <r>
          <rPr>
            <b/>
            <sz val="9"/>
            <color indexed="81"/>
            <rFont val="Tahoma"/>
            <family val="2"/>
          </rPr>
          <t>=IF($D53="","",IFERROR(CIQ($D53,"IQ_RATE_LEVEL",$C$5)/100,"NA"))</t>
        </r>
      </text>
    </comment>
    <comment ref="E54" authorId="0" shapeId="0" xr:uid="{125561E9-3498-492C-980C-BE5D4255A7EB}">
      <text>
        <r>
          <rPr>
            <b/>
            <sz val="9"/>
            <color indexed="81"/>
            <rFont val="Tahoma"/>
            <family val="2"/>
          </rPr>
          <t>=IF($D54="","",IFERROR(CIQ($D54,"IQ_RATE_LEVEL",$C$5)/100,"NA"))</t>
        </r>
      </text>
    </comment>
    <comment ref="E60" authorId="0" shapeId="0" xr:uid="{13137BF2-BDE6-4F4F-AEF3-9C71F91B169C}">
      <text>
        <r>
          <rPr>
            <b/>
            <sz val="9"/>
            <color indexed="81"/>
            <rFont val="Tahoma"/>
            <family val="2"/>
          </rPr>
          <t>=IF(OR($C60="",$B60="",$A60=""),"",CIQ($C60,"IQ_FULL_CURVE"&amp;$E$57,$B$58,$B60,$A60&amp;"Y",$C$5))</t>
        </r>
      </text>
    </comment>
    <comment ref="E61" authorId="0" shapeId="0" xr:uid="{4C8F2CF6-F5E7-42F5-829A-267CD15B549A}">
      <text>
        <r>
          <rPr>
            <b/>
            <sz val="9"/>
            <color indexed="81"/>
            <rFont val="Tahoma"/>
            <family val="2"/>
          </rPr>
          <t>=IF(OR($C61="",$B61="",$A61=""),"",CIQ($C61,"IQ_FULL_CURVE"&amp;$E$57,$B$58,$B61,$A61&amp;"Y",$C$5))</t>
        </r>
      </text>
    </comment>
    <comment ref="E62" authorId="0" shapeId="0" xr:uid="{D04254F4-7928-4AF1-97CF-AA3642669579}">
      <text>
        <r>
          <rPr>
            <b/>
            <sz val="9"/>
            <color indexed="81"/>
            <rFont val="Tahoma"/>
            <family val="2"/>
          </rPr>
          <t>=IF(OR($C62="",$B62="",$A62=""),"",CIQ($C62,"IQ_FULL_CURVE"&amp;$E$57,$B$58,$B62,$A62&amp;"Y",$C$5))</t>
        </r>
      </text>
    </comment>
    <comment ref="E63" authorId="0" shapeId="0" xr:uid="{176D2515-9928-4949-A0C8-DD3862D43F97}">
      <text>
        <r>
          <rPr>
            <b/>
            <sz val="9"/>
            <color indexed="81"/>
            <rFont val="Tahoma"/>
            <family val="2"/>
          </rPr>
          <t>=IF(OR($C63="",$B63="",$A63=""),"",CIQ($C63,"IQ_FULL_CURVE"&amp;$E$57,$B$58,$B63,$A63&amp;"Y",$C$5))</t>
        </r>
      </text>
    </comment>
    <comment ref="E64" authorId="0" shapeId="0" xr:uid="{374B6922-EF8F-4ECE-B8FF-5EB5DD5B7E1B}">
      <text>
        <r>
          <rPr>
            <b/>
            <sz val="9"/>
            <color indexed="81"/>
            <rFont val="Tahoma"/>
            <family val="2"/>
          </rPr>
          <t>=IF(OR($C64="",$B64="",$A64=""),"",CIQ($C64,"IQ_FULL_CURVE"&amp;$E$57,$B$58,$B64,$A64&amp;"Y",$C$5))</t>
        </r>
      </text>
    </comment>
    <comment ref="E65" authorId="0" shapeId="0" xr:uid="{EBFDE3BA-2DFD-4823-9054-E1742400E27D}">
      <text>
        <r>
          <rPr>
            <b/>
            <sz val="9"/>
            <color indexed="81"/>
            <rFont val="Tahoma"/>
            <family val="2"/>
          </rPr>
          <t>=IF(OR($C65="",$B65="",$A65=""),"",CIQ($C65,"IQ_FULL_CURVE"&amp;$E$57,$B$58,$B65,$A65&amp;"Y",$C$5))</t>
        </r>
      </text>
    </comment>
    <comment ref="E66" authorId="0" shapeId="0" xr:uid="{560CC298-4C8B-490C-A4A3-FFA1A51D8087}">
      <text>
        <r>
          <rPr>
            <b/>
            <sz val="9"/>
            <color indexed="81"/>
            <rFont val="Tahoma"/>
            <family val="2"/>
          </rPr>
          <t>=IF(OR($C66="",$B66="",$A66=""),"",CIQ($C66,"IQ_FULL_CURVE"&amp;$E$57,$B$58,$B66,$A66&amp;"Y",$C$5))</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D9" authorId="0" shapeId="0" xr:uid="{CA743CDE-F214-4434-98AB-9E0250BE10C4}">
      <text>
        <r>
          <rPr>
            <b/>
            <sz val="9"/>
            <color indexed="81"/>
            <rFont val="Tahoma"/>
            <family val="2"/>
          </rPr>
          <t>=IF($C9="","",IFERROR(CIQ($C9,"IQ_TOTAL_REV",D$8,vd,,,curr)*$L$3,""))</t>
        </r>
      </text>
    </comment>
    <comment ref="E9" authorId="0" shapeId="0" xr:uid="{282FA105-E46D-4939-B9D7-F29F95B7E987}">
      <text>
        <r>
          <rPr>
            <b/>
            <sz val="9"/>
            <color indexed="81"/>
            <rFont val="Tahoma"/>
            <family val="2"/>
          </rPr>
          <t>=IF($C9="","",IFERROR(CIQ($C9,"IQ_TOTAL_REV",E$8,vd,,,curr)*$L$3,""))</t>
        </r>
      </text>
    </comment>
    <comment ref="F9" authorId="0" shapeId="0" xr:uid="{E40CE923-E2CB-491A-9025-DECADA187B3F}">
      <text>
        <r>
          <rPr>
            <b/>
            <sz val="9"/>
            <color indexed="81"/>
            <rFont val="Tahoma"/>
            <family val="2"/>
          </rPr>
          <t>=IF($C9="","",IFERROR(CIQ($C9,"IQ_TOTAL_REV",F$8,vd,,,curr)*$L$3,""))</t>
        </r>
      </text>
    </comment>
    <comment ref="G9" authorId="0" shapeId="0" xr:uid="{CE153F73-6ACC-4ACE-A65D-1944D252ACED}">
      <text>
        <r>
          <rPr>
            <b/>
            <sz val="9"/>
            <color indexed="81"/>
            <rFont val="Tahoma"/>
            <family val="2"/>
          </rPr>
          <t>=IF($C9="","",IFERROR(CIQ($C9,"IQ_TOTAL_REV",G$8,vd,,,curr)*$L$3,""))</t>
        </r>
      </text>
    </comment>
    <comment ref="H9" authorId="0" shapeId="0" xr:uid="{CCC9E440-46F5-4FDD-9752-961BC476B20F}">
      <text>
        <r>
          <rPr>
            <b/>
            <sz val="9"/>
            <color indexed="81"/>
            <rFont val="Tahoma"/>
            <family val="2"/>
          </rPr>
          <t>=IF($C9="","",IFERROR(CIQ($C9,"IQ_TOTAL_REV",H$8,vd,,,curr)*$L$3,""))</t>
        </r>
      </text>
    </comment>
    <comment ref="I9" authorId="0" shapeId="0" xr:uid="{3BFEAFDF-78FA-4E1D-AF50-C06F1CD32C0C}">
      <text>
        <r>
          <rPr>
            <b/>
            <sz val="9"/>
            <color indexed="81"/>
            <rFont val="Tahoma"/>
            <family val="2"/>
          </rPr>
          <t>=IF($C9="","",IFERROR(CIQ($C9,"IQ_TOTAL_REV",I$8,vd,,,curr)*$L$3,""))</t>
        </r>
      </text>
    </comment>
    <comment ref="J9" authorId="0" shapeId="0" xr:uid="{3BD8881E-D0AE-428E-BA0F-44582FD26ED3}">
      <text>
        <r>
          <rPr>
            <b/>
            <sz val="9"/>
            <color indexed="81"/>
            <rFont val="Tahoma"/>
            <family val="2"/>
          </rPr>
          <t>=IF($C9="","",IFERROR(CIQ($C9,"IQ_TOTAL_REV",J$8,vd,,,curr)*$L$3,""))</t>
        </r>
      </text>
    </comment>
    <comment ref="K9" authorId="0" shapeId="0" xr:uid="{A1F298B5-A9A3-4DA1-AEAB-BA264672FAC3}">
      <text>
        <r>
          <rPr>
            <b/>
            <sz val="9"/>
            <color indexed="81"/>
            <rFont val="Tahoma"/>
            <family val="2"/>
          </rPr>
          <t>=IF($C9="","",IFERROR(CIQ($C9,"IQ_TOTAL_REV",K$8,vd,,,curr)*$L$3,""))</t>
        </r>
      </text>
    </comment>
    <comment ref="L9" authorId="0" shapeId="0" xr:uid="{6F2973FE-CF16-420C-BD22-2BCA758A1E73}">
      <text>
        <r>
          <rPr>
            <b/>
            <sz val="9"/>
            <color indexed="81"/>
            <rFont val="Tahoma"/>
            <family val="2"/>
          </rPr>
          <t>=IF($C9="","",IFERROR(CIQ($C9,"IQ_TOTAL_REV",L$8,vd,,,curr)*$L$3,""))</t>
        </r>
      </text>
    </comment>
    <comment ref="M9" authorId="0" shapeId="0" xr:uid="{452A967C-0F8D-4486-ABC3-20B0FF73EA1F}">
      <text>
        <r>
          <rPr>
            <b/>
            <sz val="9"/>
            <color indexed="81"/>
            <rFont val="Tahoma"/>
            <family val="2"/>
          </rPr>
          <t>=IF($C9="","",IFERROR(CIQ($C9,"IQ_TOTAL_REV",M$8,vd,,,curr)*$L$3,""))</t>
        </r>
      </text>
    </comment>
    <comment ref="N9" authorId="0" shapeId="0" xr:uid="{F6C9B472-E259-427D-BFD7-C6A895710D99}">
      <text>
        <r>
          <rPr>
            <b/>
            <sz val="9"/>
            <color indexed="81"/>
            <rFont val="Tahoma"/>
            <family val="2"/>
          </rPr>
          <t>=IF($C9="","",IFERROR(CIQ($C9,"IQ_TOTAL_REV",N$8,vd,,,curr)*$L$3,""))</t>
        </r>
      </text>
    </comment>
    <comment ref="D10" authorId="0" shapeId="0" xr:uid="{3F55A08B-01F3-4C49-B4AE-2FA6B84025D1}">
      <text>
        <r>
          <rPr>
            <b/>
            <sz val="9"/>
            <color indexed="81"/>
            <rFont val="Tahoma"/>
            <family val="2"/>
          </rPr>
          <t>=IF($C10="","",IFERROR(CIQ($C10,"IQ_TOTAL_REV",D$8,vd,,,curr)*$L$3,""))</t>
        </r>
      </text>
    </comment>
    <comment ref="E10" authorId="0" shapeId="0" xr:uid="{F48F4D8B-5DF3-499B-ADFF-3BE41C241376}">
      <text>
        <r>
          <rPr>
            <b/>
            <sz val="9"/>
            <color indexed="81"/>
            <rFont val="Tahoma"/>
            <family val="2"/>
          </rPr>
          <t>=IF($C10="","",IFERROR(CIQ($C10,"IQ_TOTAL_REV",E$8,vd,,,curr)*$L$3,""))</t>
        </r>
      </text>
    </comment>
    <comment ref="F10" authorId="0" shapeId="0" xr:uid="{2AA7FC0B-1B5D-4A48-AE5C-25673641B82F}">
      <text>
        <r>
          <rPr>
            <b/>
            <sz val="9"/>
            <color indexed="81"/>
            <rFont val="Tahoma"/>
            <family val="2"/>
          </rPr>
          <t>=IF($C10="","",IFERROR(CIQ($C10,"IQ_TOTAL_REV",F$8,vd,,,curr)*$L$3,""))</t>
        </r>
      </text>
    </comment>
    <comment ref="G10" authorId="0" shapeId="0" xr:uid="{C2531BE7-0128-4541-A8BC-9EB6BC305BA6}">
      <text>
        <r>
          <rPr>
            <b/>
            <sz val="9"/>
            <color indexed="81"/>
            <rFont val="Tahoma"/>
            <family val="2"/>
          </rPr>
          <t>=IF($C10="","",IFERROR(CIQ($C10,"IQ_TOTAL_REV",G$8,vd,,,curr)*$L$3,""))</t>
        </r>
      </text>
    </comment>
    <comment ref="H10" authorId="0" shapeId="0" xr:uid="{87F8C161-35CC-4AD1-8B7C-FF71AC12334C}">
      <text>
        <r>
          <rPr>
            <b/>
            <sz val="9"/>
            <color indexed="81"/>
            <rFont val="Tahoma"/>
            <family val="2"/>
          </rPr>
          <t>=IF($C10="","",IFERROR(CIQ($C10,"IQ_TOTAL_REV",H$8,vd,,,curr)*$L$3,""))</t>
        </r>
      </text>
    </comment>
    <comment ref="I10" authorId="0" shapeId="0" xr:uid="{F5D43C79-BB51-4AE7-AF90-F9694539DEBC}">
      <text>
        <r>
          <rPr>
            <b/>
            <sz val="9"/>
            <color indexed="81"/>
            <rFont val="Tahoma"/>
            <family val="2"/>
          </rPr>
          <t>=IF($C10="","",IFERROR(CIQ($C10,"IQ_TOTAL_REV",I$8,vd,,,curr)*$L$3,""))</t>
        </r>
      </text>
    </comment>
    <comment ref="J10" authorId="0" shapeId="0" xr:uid="{532A2CF0-E75E-43B9-ACF6-C50A402652B2}">
      <text>
        <r>
          <rPr>
            <b/>
            <sz val="9"/>
            <color indexed="81"/>
            <rFont val="Tahoma"/>
            <family val="2"/>
          </rPr>
          <t>=IF($C10="","",IFERROR(CIQ($C10,"IQ_TOTAL_REV",J$8,vd,,,curr)*$L$3,""))</t>
        </r>
      </text>
    </comment>
    <comment ref="K10" authorId="0" shapeId="0" xr:uid="{1152933B-7896-4792-84CD-F530E0238C8B}">
      <text>
        <r>
          <rPr>
            <b/>
            <sz val="9"/>
            <color indexed="81"/>
            <rFont val="Tahoma"/>
            <family val="2"/>
          </rPr>
          <t>=IF($C10="","",IFERROR(CIQ($C10,"IQ_TOTAL_REV",K$8,vd,,,curr)*$L$3,""))</t>
        </r>
      </text>
    </comment>
    <comment ref="L10" authorId="0" shapeId="0" xr:uid="{8C140D9D-39B0-4D06-9A35-67043EE4C16C}">
      <text>
        <r>
          <rPr>
            <b/>
            <sz val="9"/>
            <color indexed="81"/>
            <rFont val="Tahoma"/>
            <family val="2"/>
          </rPr>
          <t>=IF($C10="","",IFERROR(CIQ($C10,"IQ_TOTAL_REV",L$8,vd,,,curr)*$L$3,""))</t>
        </r>
      </text>
    </comment>
    <comment ref="M10" authorId="0" shapeId="0" xr:uid="{38BA70E8-8D0C-4A13-AAC4-CF7BE123872A}">
      <text>
        <r>
          <rPr>
            <b/>
            <sz val="9"/>
            <color indexed="81"/>
            <rFont val="Tahoma"/>
            <family val="2"/>
          </rPr>
          <t>=IF($C10="","",IFERROR(CIQ($C10,"IQ_TOTAL_REV",M$8,vd,,,curr)*$L$3,""))</t>
        </r>
      </text>
    </comment>
    <comment ref="N10" authorId="0" shapeId="0" xr:uid="{03B3EAB0-2A03-483C-830F-9C7D7E00FA02}">
      <text>
        <r>
          <rPr>
            <b/>
            <sz val="9"/>
            <color indexed="81"/>
            <rFont val="Tahoma"/>
            <family val="2"/>
          </rPr>
          <t>=IF($C10="","",IFERROR(CIQ($C10,"IQ_TOTAL_REV",N$8,vd,,,curr)*$L$3,""))</t>
        </r>
      </text>
    </comment>
    <comment ref="D11" authorId="0" shapeId="0" xr:uid="{1B261BA0-2692-4EA8-AC8A-ADDDAD3E0601}">
      <text>
        <r>
          <rPr>
            <b/>
            <sz val="9"/>
            <color indexed="81"/>
            <rFont val="Tahoma"/>
            <family val="2"/>
          </rPr>
          <t>=IF($C11="","",IFERROR(CIQ($C11,"IQ_TOTAL_REV",D$8,vd,,,curr)*$L$3,""))</t>
        </r>
      </text>
    </comment>
    <comment ref="E11" authorId="0" shapeId="0" xr:uid="{3AE5DD18-2D7C-483F-BF14-495D3DA16D5E}">
      <text>
        <r>
          <rPr>
            <b/>
            <sz val="9"/>
            <color indexed="81"/>
            <rFont val="Tahoma"/>
            <family val="2"/>
          </rPr>
          <t>=IF($C11="","",IFERROR(CIQ($C11,"IQ_TOTAL_REV",E$8,vd,,,curr)*$L$3,""))</t>
        </r>
      </text>
    </comment>
    <comment ref="F11" authorId="0" shapeId="0" xr:uid="{D42D2A68-BDD5-4929-AA25-67EC915EA79F}">
      <text>
        <r>
          <rPr>
            <b/>
            <sz val="9"/>
            <color indexed="81"/>
            <rFont val="Tahoma"/>
            <family val="2"/>
          </rPr>
          <t>=IF($C11="","",IFERROR(CIQ($C11,"IQ_TOTAL_REV",F$8,vd,,,curr)*$L$3,""))</t>
        </r>
      </text>
    </comment>
    <comment ref="G11" authorId="0" shapeId="0" xr:uid="{5F182BF9-B71B-4781-8BA6-47DBCB171FB3}">
      <text>
        <r>
          <rPr>
            <b/>
            <sz val="9"/>
            <color indexed="81"/>
            <rFont val="Tahoma"/>
            <family val="2"/>
          </rPr>
          <t>=IF($C11="","",IFERROR(CIQ($C11,"IQ_TOTAL_REV",G$8,vd,,,curr)*$L$3,""))</t>
        </r>
      </text>
    </comment>
    <comment ref="H11" authorId="0" shapeId="0" xr:uid="{5DBE2940-8D41-4346-91D4-73DA28949091}">
      <text>
        <r>
          <rPr>
            <b/>
            <sz val="9"/>
            <color indexed="81"/>
            <rFont val="Tahoma"/>
            <family val="2"/>
          </rPr>
          <t>=IF($C11="","",IFERROR(CIQ($C11,"IQ_TOTAL_REV",H$8,vd,,,curr)*$L$3,""))</t>
        </r>
      </text>
    </comment>
    <comment ref="I11" authorId="0" shapeId="0" xr:uid="{1A5CA345-9729-4201-AE9E-477144523E12}">
      <text>
        <r>
          <rPr>
            <b/>
            <sz val="9"/>
            <color indexed="81"/>
            <rFont val="Tahoma"/>
            <family val="2"/>
          </rPr>
          <t>=IF($C11="","",IFERROR(CIQ($C11,"IQ_TOTAL_REV",I$8,vd,,,curr)*$L$3,""))</t>
        </r>
      </text>
    </comment>
    <comment ref="J11" authorId="0" shapeId="0" xr:uid="{713B68D0-01B5-4E66-8650-5296A8661C17}">
      <text>
        <r>
          <rPr>
            <b/>
            <sz val="9"/>
            <color indexed="81"/>
            <rFont val="Tahoma"/>
            <family val="2"/>
          </rPr>
          <t>=IF($C11="","",IFERROR(CIQ($C11,"IQ_TOTAL_REV",J$8,vd,,,curr)*$L$3,""))</t>
        </r>
      </text>
    </comment>
    <comment ref="K11" authorId="0" shapeId="0" xr:uid="{445B651B-3CE7-434B-A1BA-D0463BB75923}">
      <text>
        <r>
          <rPr>
            <b/>
            <sz val="9"/>
            <color indexed="81"/>
            <rFont val="Tahoma"/>
            <family val="2"/>
          </rPr>
          <t>=IF($C11="","",IFERROR(CIQ($C11,"IQ_TOTAL_REV",K$8,vd,,,curr)*$L$3,""))</t>
        </r>
      </text>
    </comment>
    <comment ref="L11" authorId="0" shapeId="0" xr:uid="{998DCE91-688D-4B2E-B4F9-44E93EE038C9}">
      <text>
        <r>
          <rPr>
            <b/>
            <sz val="9"/>
            <color indexed="81"/>
            <rFont val="Tahoma"/>
            <family val="2"/>
          </rPr>
          <t>=IF($C11="","",IFERROR(CIQ($C11,"IQ_TOTAL_REV",L$8,vd,,,curr)*$L$3,""))</t>
        </r>
      </text>
    </comment>
    <comment ref="M11" authorId="0" shapeId="0" xr:uid="{316958F1-B8A1-4DE1-9988-1C6A9CC7D510}">
      <text>
        <r>
          <rPr>
            <b/>
            <sz val="9"/>
            <color indexed="81"/>
            <rFont val="Tahoma"/>
            <family val="2"/>
          </rPr>
          <t>=IF($C11="","",IFERROR(CIQ($C11,"IQ_TOTAL_REV",M$8,vd,,,curr)*$L$3,""))</t>
        </r>
      </text>
    </comment>
    <comment ref="N11" authorId="0" shapeId="0" xr:uid="{DD121EDC-7EC4-4EF2-BF20-E95619F45F2E}">
      <text>
        <r>
          <rPr>
            <b/>
            <sz val="9"/>
            <color indexed="81"/>
            <rFont val="Tahoma"/>
            <family val="2"/>
          </rPr>
          <t>=IF($C11="","",IFERROR(CIQ($C11,"IQ_TOTAL_REV",N$8,vd,,,curr)*$L$3,""))</t>
        </r>
      </text>
    </comment>
    <comment ref="D12" authorId="0" shapeId="0" xr:uid="{1211D29E-BECD-47FE-9198-1875687B08A8}">
      <text>
        <r>
          <rPr>
            <b/>
            <sz val="9"/>
            <color indexed="81"/>
            <rFont val="Tahoma"/>
            <family val="2"/>
          </rPr>
          <t>=IF($C12="","",IFERROR(CIQ($C12,"IQ_TOTAL_REV",D$8,vd,,,curr)*$L$3,""))</t>
        </r>
      </text>
    </comment>
    <comment ref="E12" authorId="0" shapeId="0" xr:uid="{85B447C5-D3CE-4647-B06F-92A6354972C9}">
      <text>
        <r>
          <rPr>
            <b/>
            <sz val="9"/>
            <color indexed="81"/>
            <rFont val="Tahoma"/>
            <family val="2"/>
          </rPr>
          <t>=IF($C12="","",IFERROR(CIQ($C12,"IQ_TOTAL_REV",E$8,vd,,,curr)*$L$3,""))</t>
        </r>
      </text>
    </comment>
    <comment ref="F12" authorId="0" shapeId="0" xr:uid="{72351566-A324-4425-A476-79F7CB832633}">
      <text>
        <r>
          <rPr>
            <b/>
            <sz val="9"/>
            <color indexed="81"/>
            <rFont val="Tahoma"/>
            <family val="2"/>
          </rPr>
          <t>=IF($C12="","",IFERROR(CIQ($C12,"IQ_TOTAL_REV",F$8,vd,,,curr)*$L$3,""))</t>
        </r>
      </text>
    </comment>
    <comment ref="G12" authorId="0" shapeId="0" xr:uid="{AD311763-FF53-4845-9081-AA766B7689A1}">
      <text>
        <r>
          <rPr>
            <b/>
            <sz val="9"/>
            <color indexed="81"/>
            <rFont val="Tahoma"/>
            <family val="2"/>
          </rPr>
          <t>=IF($C12="","",IFERROR(CIQ($C12,"IQ_TOTAL_REV",G$8,vd,,,curr)*$L$3,""))</t>
        </r>
      </text>
    </comment>
    <comment ref="H12" authorId="0" shapeId="0" xr:uid="{47FAD427-BF3F-4F72-AA05-7A866E9FCC39}">
      <text>
        <r>
          <rPr>
            <b/>
            <sz val="9"/>
            <color indexed="81"/>
            <rFont val="Tahoma"/>
            <family val="2"/>
          </rPr>
          <t>=IF($C12="","",IFERROR(CIQ($C12,"IQ_TOTAL_REV",H$8,vd,,,curr)*$L$3,""))</t>
        </r>
      </text>
    </comment>
    <comment ref="I12" authorId="0" shapeId="0" xr:uid="{23B96744-DDE7-4233-B59D-986A0660F29E}">
      <text>
        <r>
          <rPr>
            <b/>
            <sz val="9"/>
            <color indexed="81"/>
            <rFont val="Tahoma"/>
            <family val="2"/>
          </rPr>
          <t>=IF($C12="","",IFERROR(CIQ($C12,"IQ_TOTAL_REV",I$8,vd,,,curr)*$L$3,""))</t>
        </r>
      </text>
    </comment>
    <comment ref="J12" authorId="0" shapeId="0" xr:uid="{44641D98-426E-42EE-AF06-ABF49ADC3883}">
      <text>
        <r>
          <rPr>
            <b/>
            <sz val="9"/>
            <color indexed="81"/>
            <rFont val="Tahoma"/>
            <family val="2"/>
          </rPr>
          <t>=IF($C12="","",IFERROR(CIQ($C12,"IQ_TOTAL_REV",J$8,vd,,,curr)*$L$3,""))</t>
        </r>
      </text>
    </comment>
    <comment ref="K12" authorId="0" shapeId="0" xr:uid="{143915B6-A5ED-4411-8BF3-3E4F41B5DECF}">
      <text>
        <r>
          <rPr>
            <b/>
            <sz val="9"/>
            <color indexed="81"/>
            <rFont val="Tahoma"/>
            <family val="2"/>
          </rPr>
          <t>=IF($C12="","",IFERROR(CIQ($C12,"IQ_TOTAL_REV",K$8,vd,,,curr)*$L$3,""))</t>
        </r>
      </text>
    </comment>
    <comment ref="L12" authorId="0" shapeId="0" xr:uid="{C14F9E1A-C6EC-4378-9E5C-7993ED0EA35A}">
      <text>
        <r>
          <rPr>
            <b/>
            <sz val="9"/>
            <color indexed="81"/>
            <rFont val="Tahoma"/>
            <family val="2"/>
          </rPr>
          <t>=IF($C12="","",IFERROR(CIQ($C12,"IQ_TOTAL_REV",L$8,vd,,,curr)*$L$3,""))</t>
        </r>
      </text>
    </comment>
    <comment ref="M12" authorId="0" shapeId="0" xr:uid="{BC26A598-8791-4ED5-AD46-E34213EF887B}">
      <text>
        <r>
          <rPr>
            <b/>
            <sz val="9"/>
            <color indexed="81"/>
            <rFont val="Tahoma"/>
            <family val="2"/>
          </rPr>
          <t>=IF($C12="","",IFERROR(CIQ($C12,"IQ_TOTAL_REV",M$8,vd,,,curr)*$L$3,""))</t>
        </r>
      </text>
    </comment>
    <comment ref="N12" authorId="0" shapeId="0" xr:uid="{31112437-9B8A-49CB-9EC1-6B8FA7D4BA8A}">
      <text>
        <r>
          <rPr>
            <b/>
            <sz val="9"/>
            <color indexed="81"/>
            <rFont val="Tahoma"/>
            <family val="2"/>
          </rPr>
          <t>=IF($C12="","",IFERROR(CIQ($C12,"IQ_TOTAL_REV",N$8,vd,,,curr)*$L$3,""))</t>
        </r>
      </text>
    </comment>
    <comment ref="D13" authorId="0" shapeId="0" xr:uid="{11214FB4-E372-4AFE-BC09-DED21C0EADDC}">
      <text>
        <r>
          <rPr>
            <b/>
            <sz val="9"/>
            <color indexed="81"/>
            <rFont val="Tahoma"/>
            <family val="2"/>
          </rPr>
          <t>=IF($C13="","",IFERROR(CIQ($C13,"IQ_TOTAL_REV",D$8,vd,,,curr)*$L$3,""))</t>
        </r>
      </text>
    </comment>
    <comment ref="E13" authorId="0" shapeId="0" xr:uid="{54343286-747C-477E-A8E6-F8056BD7B0A7}">
      <text>
        <r>
          <rPr>
            <b/>
            <sz val="9"/>
            <color indexed="81"/>
            <rFont val="Tahoma"/>
            <family val="2"/>
          </rPr>
          <t>=IF($C13="","",IFERROR(CIQ($C13,"IQ_TOTAL_REV",E$8,vd,,,curr)*$L$3,""))</t>
        </r>
      </text>
    </comment>
    <comment ref="F13" authorId="0" shapeId="0" xr:uid="{6AF4191C-6078-4C12-A6B6-D283D9FF54AC}">
      <text>
        <r>
          <rPr>
            <b/>
            <sz val="9"/>
            <color indexed="81"/>
            <rFont val="Tahoma"/>
            <family val="2"/>
          </rPr>
          <t>=IF($C13="","",IFERROR(CIQ($C13,"IQ_TOTAL_REV",F$8,vd,,,curr)*$L$3,""))</t>
        </r>
      </text>
    </comment>
    <comment ref="G13" authorId="0" shapeId="0" xr:uid="{33191482-8AB4-492B-933A-959973D8FC2F}">
      <text>
        <r>
          <rPr>
            <b/>
            <sz val="9"/>
            <color indexed="81"/>
            <rFont val="Tahoma"/>
            <family val="2"/>
          </rPr>
          <t>=IF($C13="","",IFERROR(CIQ($C13,"IQ_TOTAL_REV",G$8,vd,,,curr)*$L$3,""))</t>
        </r>
      </text>
    </comment>
    <comment ref="H13" authorId="0" shapeId="0" xr:uid="{6B00025F-D9EC-4F48-AE6A-1202705216D0}">
      <text>
        <r>
          <rPr>
            <b/>
            <sz val="9"/>
            <color indexed="81"/>
            <rFont val="Tahoma"/>
            <family val="2"/>
          </rPr>
          <t>=IF($C13="","",IFERROR(CIQ($C13,"IQ_TOTAL_REV",H$8,vd,,,curr)*$L$3,""))</t>
        </r>
      </text>
    </comment>
    <comment ref="I13" authorId="0" shapeId="0" xr:uid="{0E33F4B0-DC78-48A6-809C-6ABC2FA4EBA6}">
      <text>
        <r>
          <rPr>
            <b/>
            <sz val="9"/>
            <color indexed="81"/>
            <rFont val="Tahoma"/>
            <family val="2"/>
          </rPr>
          <t>=IF($C13="","",IFERROR(CIQ($C13,"IQ_TOTAL_REV",I$8,vd,,,curr)*$L$3,""))</t>
        </r>
      </text>
    </comment>
    <comment ref="J13" authorId="0" shapeId="0" xr:uid="{4281CB0B-BDBA-4549-B7F2-786ED20A7115}">
      <text>
        <r>
          <rPr>
            <b/>
            <sz val="9"/>
            <color indexed="81"/>
            <rFont val="Tahoma"/>
            <family val="2"/>
          </rPr>
          <t>=IF($C13="","",IFERROR(CIQ($C13,"IQ_TOTAL_REV",J$8,vd,,,curr)*$L$3,""))</t>
        </r>
      </text>
    </comment>
    <comment ref="K13" authorId="0" shapeId="0" xr:uid="{F9828DC0-7CAE-4B63-828A-8AC7090BE36D}">
      <text>
        <r>
          <rPr>
            <b/>
            <sz val="9"/>
            <color indexed="81"/>
            <rFont val="Tahoma"/>
            <family val="2"/>
          </rPr>
          <t>=IF($C13="","",IFERROR(CIQ($C13,"IQ_TOTAL_REV",K$8,vd,,,curr)*$L$3,""))</t>
        </r>
      </text>
    </comment>
    <comment ref="L13" authorId="0" shapeId="0" xr:uid="{C8314F4D-A1E8-49DD-A4DF-47BB7D2B71BC}">
      <text>
        <r>
          <rPr>
            <b/>
            <sz val="9"/>
            <color indexed="81"/>
            <rFont val="Tahoma"/>
            <family val="2"/>
          </rPr>
          <t>=IF($C13="","",IFERROR(CIQ($C13,"IQ_TOTAL_REV",L$8,vd,,,curr)*$L$3,""))</t>
        </r>
      </text>
    </comment>
    <comment ref="M13" authorId="0" shapeId="0" xr:uid="{73F0A088-F4EB-4141-AC32-235FFAB1E9F9}">
      <text>
        <r>
          <rPr>
            <b/>
            <sz val="9"/>
            <color indexed="81"/>
            <rFont val="Tahoma"/>
            <family val="2"/>
          </rPr>
          <t>=IF($C13="","",IFERROR(CIQ($C13,"IQ_TOTAL_REV",M$8,vd,,,curr)*$L$3,""))</t>
        </r>
      </text>
    </comment>
    <comment ref="N13" authorId="0" shapeId="0" xr:uid="{CDD0B4D6-3081-46B7-BA6B-18890672803D}">
      <text>
        <r>
          <rPr>
            <b/>
            <sz val="9"/>
            <color indexed="81"/>
            <rFont val="Tahoma"/>
            <family val="2"/>
          </rPr>
          <t>=IF($C13="","",IFERROR(CIQ($C13,"IQ_TOTAL_REV",N$8,vd,,,curr)*$L$3,""))</t>
        </r>
      </text>
    </comment>
    <comment ref="D14" authorId="0" shapeId="0" xr:uid="{7D0CC902-74E8-473C-AC10-D67335B31C7A}">
      <text>
        <r>
          <rPr>
            <b/>
            <sz val="9"/>
            <color indexed="81"/>
            <rFont val="Tahoma"/>
            <family val="2"/>
          </rPr>
          <t>=IF($C14="","",IFERROR(CIQ($C14,"IQ_TOTAL_REV",D$8,vd,,,curr)*$L$3,""))</t>
        </r>
      </text>
    </comment>
    <comment ref="E14" authorId="0" shapeId="0" xr:uid="{2EFA6AA0-B695-4453-A298-1643A556E86B}">
      <text>
        <r>
          <rPr>
            <b/>
            <sz val="9"/>
            <color indexed="81"/>
            <rFont val="Tahoma"/>
            <family val="2"/>
          </rPr>
          <t>=IF($C14="","",IFERROR(CIQ($C14,"IQ_TOTAL_REV",E$8,vd,,,curr)*$L$3,""))</t>
        </r>
      </text>
    </comment>
    <comment ref="F14" authorId="0" shapeId="0" xr:uid="{EB54C781-D7D1-4402-98B6-82B9D50DB8D4}">
      <text>
        <r>
          <rPr>
            <b/>
            <sz val="9"/>
            <color indexed="81"/>
            <rFont val="Tahoma"/>
            <family val="2"/>
          </rPr>
          <t>=IF($C14="","",IFERROR(CIQ($C14,"IQ_TOTAL_REV",F$8,vd,,,curr)*$L$3,""))</t>
        </r>
      </text>
    </comment>
    <comment ref="G14" authorId="0" shapeId="0" xr:uid="{0582BFFA-F407-4DD0-B218-7C6CF030DB1F}">
      <text>
        <r>
          <rPr>
            <b/>
            <sz val="9"/>
            <color indexed="81"/>
            <rFont val="Tahoma"/>
            <family val="2"/>
          </rPr>
          <t>=IF($C14="","",IFERROR(CIQ($C14,"IQ_TOTAL_REV",G$8,vd,,,curr)*$L$3,""))</t>
        </r>
      </text>
    </comment>
    <comment ref="H14" authorId="0" shapeId="0" xr:uid="{B843208E-A0EE-4567-A91A-A24F12CB4ADC}">
      <text>
        <r>
          <rPr>
            <b/>
            <sz val="9"/>
            <color indexed="81"/>
            <rFont val="Tahoma"/>
            <family val="2"/>
          </rPr>
          <t>=IF($C14="","",IFERROR(CIQ($C14,"IQ_TOTAL_REV",H$8,vd,,,curr)*$L$3,""))</t>
        </r>
      </text>
    </comment>
    <comment ref="I14" authorId="0" shapeId="0" xr:uid="{93C7E789-1274-43E1-A1CF-26852FD0A831}">
      <text>
        <r>
          <rPr>
            <b/>
            <sz val="9"/>
            <color indexed="81"/>
            <rFont val="Tahoma"/>
            <family val="2"/>
          </rPr>
          <t>=IF($C14="","",IFERROR(CIQ($C14,"IQ_TOTAL_REV",I$8,vd,,,curr)*$L$3,""))</t>
        </r>
      </text>
    </comment>
    <comment ref="J14" authorId="0" shapeId="0" xr:uid="{38069563-90BF-4E45-B341-FE3E85F6C48B}">
      <text>
        <r>
          <rPr>
            <b/>
            <sz val="9"/>
            <color indexed="81"/>
            <rFont val="Tahoma"/>
            <family val="2"/>
          </rPr>
          <t>=IF($C14="","",IFERROR(CIQ($C14,"IQ_TOTAL_REV",J$8,vd,,,curr)*$L$3,""))</t>
        </r>
      </text>
    </comment>
    <comment ref="K14" authorId="0" shapeId="0" xr:uid="{00D4CF62-A600-4BE0-8315-405A977FA2E4}">
      <text>
        <r>
          <rPr>
            <b/>
            <sz val="9"/>
            <color indexed="81"/>
            <rFont val="Tahoma"/>
            <family val="2"/>
          </rPr>
          <t>=IF($C14="","",IFERROR(CIQ($C14,"IQ_TOTAL_REV",K$8,vd,,,curr)*$L$3,""))</t>
        </r>
      </text>
    </comment>
    <comment ref="L14" authorId="0" shapeId="0" xr:uid="{727E9AF6-DF49-4E53-969F-EE0FB8BA3C4C}">
      <text>
        <r>
          <rPr>
            <b/>
            <sz val="9"/>
            <color indexed="81"/>
            <rFont val="Tahoma"/>
            <family val="2"/>
          </rPr>
          <t>=IF($C14="","",IFERROR(CIQ($C14,"IQ_TOTAL_REV",L$8,vd,,,curr)*$L$3,""))</t>
        </r>
      </text>
    </comment>
    <comment ref="M14" authorId="0" shapeId="0" xr:uid="{95A25B2D-5A09-4BA5-A4B7-A6811FD6B896}">
      <text>
        <r>
          <rPr>
            <b/>
            <sz val="9"/>
            <color indexed="81"/>
            <rFont val="Tahoma"/>
            <family val="2"/>
          </rPr>
          <t>=IF($C14="","",IFERROR(CIQ($C14,"IQ_TOTAL_REV",M$8,vd,,,curr)*$L$3,""))</t>
        </r>
      </text>
    </comment>
    <comment ref="N14" authorId="0" shapeId="0" xr:uid="{A26FCCF4-9431-43D1-BC6B-F9540BAC5C3F}">
      <text>
        <r>
          <rPr>
            <b/>
            <sz val="9"/>
            <color indexed="81"/>
            <rFont val="Tahoma"/>
            <family val="2"/>
          </rPr>
          <t>=IF($C14="","",IFERROR(CIQ($C14,"IQ_TOTAL_REV",N$8,vd,,,curr)*$L$3,""))</t>
        </r>
      </text>
    </comment>
    <comment ref="D15" authorId="0" shapeId="0" xr:uid="{6570F045-ADFA-4C60-863A-A596745024BA}">
      <text>
        <r>
          <rPr>
            <b/>
            <sz val="9"/>
            <color indexed="81"/>
            <rFont val="Tahoma"/>
            <family val="2"/>
          </rPr>
          <t>=IF($C15="","",IFERROR(CIQ($C15,"IQ_TOTAL_REV",D$8,vd,,,curr)*$L$3,""))</t>
        </r>
      </text>
    </comment>
    <comment ref="E15" authorId="0" shapeId="0" xr:uid="{203D66BE-A8CD-4B54-AC6A-A977876DBAA2}">
      <text>
        <r>
          <rPr>
            <b/>
            <sz val="9"/>
            <color indexed="81"/>
            <rFont val="Tahoma"/>
            <family val="2"/>
          </rPr>
          <t>=IF($C15="","",IFERROR(CIQ($C15,"IQ_TOTAL_REV",E$8,vd,,,curr)*$L$3,""))</t>
        </r>
      </text>
    </comment>
    <comment ref="F15" authorId="0" shapeId="0" xr:uid="{A7123430-D193-4C0E-B3CE-A95B0304B295}">
      <text>
        <r>
          <rPr>
            <b/>
            <sz val="9"/>
            <color indexed="81"/>
            <rFont val="Tahoma"/>
            <family val="2"/>
          </rPr>
          <t>=IF($C15="","",IFERROR(CIQ($C15,"IQ_TOTAL_REV",F$8,vd,,,curr)*$L$3,""))</t>
        </r>
      </text>
    </comment>
    <comment ref="G15" authorId="0" shapeId="0" xr:uid="{DEE5F5DB-D647-450F-B3BA-6548FAFF3CA0}">
      <text>
        <r>
          <rPr>
            <b/>
            <sz val="9"/>
            <color indexed="81"/>
            <rFont val="Tahoma"/>
            <family val="2"/>
          </rPr>
          <t>=IF($C15="","",IFERROR(CIQ($C15,"IQ_TOTAL_REV",G$8,vd,,,curr)*$L$3,""))</t>
        </r>
      </text>
    </comment>
    <comment ref="H15" authorId="0" shapeId="0" xr:uid="{CA94114F-DB42-4098-97CA-2F458F951A54}">
      <text>
        <r>
          <rPr>
            <b/>
            <sz val="9"/>
            <color indexed="81"/>
            <rFont val="Tahoma"/>
            <family val="2"/>
          </rPr>
          <t>=IF($C15="","",IFERROR(CIQ($C15,"IQ_TOTAL_REV",H$8,vd,,,curr)*$L$3,""))</t>
        </r>
      </text>
    </comment>
    <comment ref="I15" authorId="0" shapeId="0" xr:uid="{9D394429-1BF3-4B98-A2D4-E38D0E0041C4}">
      <text>
        <r>
          <rPr>
            <b/>
            <sz val="9"/>
            <color indexed="81"/>
            <rFont val="Tahoma"/>
            <family val="2"/>
          </rPr>
          <t>=IF($C15="","",IFERROR(CIQ($C15,"IQ_TOTAL_REV",I$8,vd,,,curr)*$L$3,""))</t>
        </r>
      </text>
    </comment>
    <comment ref="J15" authorId="0" shapeId="0" xr:uid="{C3F6B011-DAEB-4C36-B27B-B0F172E933AB}">
      <text>
        <r>
          <rPr>
            <b/>
            <sz val="9"/>
            <color indexed="81"/>
            <rFont val="Tahoma"/>
            <family val="2"/>
          </rPr>
          <t>=IF($C15="","",IFERROR(CIQ($C15,"IQ_TOTAL_REV",J$8,vd,,,curr)*$L$3,""))</t>
        </r>
      </text>
    </comment>
    <comment ref="K15" authorId="0" shapeId="0" xr:uid="{8F1B12D8-D1DE-4BFA-A5A6-7DE28811163B}">
      <text>
        <r>
          <rPr>
            <b/>
            <sz val="9"/>
            <color indexed="81"/>
            <rFont val="Tahoma"/>
            <family val="2"/>
          </rPr>
          <t>=IF($C15="","",IFERROR(CIQ($C15,"IQ_TOTAL_REV",K$8,vd,,,curr)*$L$3,""))</t>
        </r>
      </text>
    </comment>
    <comment ref="L15" authorId="0" shapeId="0" xr:uid="{1A0E924F-C8AE-48B5-AD0C-698E1FB88A9B}">
      <text>
        <r>
          <rPr>
            <b/>
            <sz val="9"/>
            <color indexed="81"/>
            <rFont val="Tahoma"/>
            <family val="2"/>
          </rPr>
          <t>=IF($C15="","",IFERROR(CIQ($C15,"IQ_TOTAL_REV",L$8,vd,,,curr)*$L$3,""))</t>
        </r>
      </text>
    </comment>
    <comment ref="M15" authorId="0" shapeId="0" xr:uid="{E5A744B9-75AF-4945-9837-645CF9DDE49C}">
      <text>
        <r>
          <rPr>
            <b/>
            <sz val="9"/>
            <color indexed="81"/>
            <rFont val="Tahoma"/>
            <family val="2"/>
          </rPr>
          <t>=IF($C15="","",IFERROR(CIQ($C15,"IQ_TOTAL_REV",M$8,vd,,,curr)*$L$3,""))</t>
        </r>
      </text>
    </comment>
    <comment ref="N15" authorId="0" shapeId="0" xr:uid="{2AB67B4B-06C3-493E-BC8B-02527E8E3B64}">
      <text>
        <r>
          <rPr>
            <b/>
            <sz val="9"/>
            <color indexed="81"/>
            <rFont val="Tahoma"/>
            <family val="2"/>
          </rPr>
          <t>=IF($C15="","",IFERROR(CIQ($C15,"IQ_TOTAL_REV",N$8,vd,,,curr)*$L$3,""))</t>
        </r>
      </text>
    </comment>
    <comment ref="D16" authorId="0" shapeId="0" xr:uid="{184C910F-FDC7-440E-A3B5-3B5B73D3C900}">
      <text>
        <r>
          <rPr>
            <b/>
            <sz val="9"/>
            <color indexed="81"/>
            <rFont val="Tahoma"/>
            <family val="2"/>
          </rPr>
          <t>=IF($C16="","",IFERROR(CIQ($C16,"IQ_TOTAL_REV",D$8,vd,,,curr)*$L$3,""))</t>
        </r>
      </text>
    </comment>
    <comment ref="E16" authorId="0" shapeId="0" xr:uid="{DAB3A36D-9E36-4737-B267-FEFB96EA66CC}">
      <text>
        <r>
          <rPr>
            <b/>
            <sz val="9"/>
            <color indexed="81"/>
            <rFont val="Tahoma"/>
            <family val="2"/>
          </rPr>
          <t>=IF($C16="","",IFERROR(CIQ($C16,"IQ_TOTAL_REV",E$8,vd,,,curr)*$L$3,""))</t>
        </r>
      </text>
    </comment>
    <comment ref="F16" authorId="0" shapeId="0" xr:uid="{09F328FE-D5FB-4409-A5D7-333D8B4D21E3}">
      <text>
        <r>
          <rPr>
            <b/>
            <sz val="9"/>
            <color indexed="81"/>
            <rFont val="Tahoma"/>
            <family val="2"/>
          </rPr>
          <t>=IF($C16="","",IFERROR(CIQ($C16,"IQ_TOTAL_REV",F$8,vd,,,curr)*$L$3,""))</t>
        </r>
      </text>
    </comment>
    <comment ref="G16" authorId="0" shapeId="0" xr:uid="{59E2F020-EDCA-477D-BF40-99AFEF00BD0F}">
      <text>
        <r>
          <rPr>
            <b/>
            <sz val="9"/>
            <color indexed="81"/>
            <rFont val="Tahoma"/>
            <family val="2"/>
          </rPr>
          <t>=IF($C16="","",IFERROR(CIQ($C16,"IQ_TOTAL_REV",G$8,vd,,,curr)*$L$3,""))</t>
        </r>
      </text>
    </comment>
    <comment ref="H16" authorId="0" shapeId="0" xr:uid="{B23FFCCF-2B4F-4521-B86C-DE366E38BD2E}">
      <text>
        <r>
          <rPr>
            <b/>
            <sz val="9"/>
            <color indexed="81"/>
            <rFont val="Tahoma"/>
            <family val="2"/>
          </rPr>
          <t>=IF($C16="","",IFERROR(CIQ($C16,"IQ_TOTAL_REV",H$8,vd,,,curr)*$L$3,""))</t>
        </r>
      </text>
    </comment>
    <comment ref="I16" authorId="0" shapeId="0" xr:uid="{C0403664-4A79-4CFD-8375-1166627FBD61}">
      <text>
        <r>
          <rPr>
            <b/>
            <sz val="9"/>
            <color indexed="81"/>
            <rFont val="Tahoma"/>
            <family val="2"/>
          </rPr>
          <t>=IF($C16="","",IFERROR(CIQ($C16,"IQ_TOTAL_REV",I$8,vd,,,curr)*$L$3,""))</t>
        </r>
      </text>
    </comment>
    <comment ref="J16" authorId="0" shapeId="0" xr:uid="{A212B155-3037-4C0A-A7F4-A86267351556}">
      <text>
        <r>
          <rPr>
            <b/>
            <sz val="9"/>
            <color indexed="81"/>
            <rFont val="Tahoma"/>
            <family val="2"/>
          </rPr>
          <t>=IF($C16="","",IFERROR(CIQ($C16,"IQ_TOTAL_REV",J$8,vd,,,curr)*$L$3,""))</t>
        </r>
      </text>
    </comment>
    <comment ref="K16" authorId="0" shapeId="0" xr:uid="{4690749B-AD1C-4711-9AC0-C88C9AB43524}">
      <text>
        <r>
          <rPr>
            <b/>
            <sz val="9"/>
            <color indexed="81"/>
            <rFont val="Tahoma"/>
            <family val="2"/>
          </rPr>
          <t>=IF($C16="","",IFERROR(CIQ($C16,"IQ_TOTAL_REV",K$8,vd,,,curr)*$L$3,""))</t>
        </r>
      </text>
    </comment>
    <comment ref="L16" authorId="0" shapeId="0" xr:uid="{EA4B0177-74D6-456A-B89F-2B8B0F58C611}">
      <text>
        <r>
          <rPr>
            <b/>
            <sz val="9"/>
            <color indexed="81"/>
            <rFont val="Tahoma"/>
            <family val="2"/>
          </rPr>
          <t>=IF($C16="","",IFERROR(CIQ($C16,"IQ_TOTAL_REV",L$8,vd,,,curr)*$L$3,""))</t>
        </r>
      </text>
    </comment>
    <comment ref="M16" authorId="0" shapeId="0" xr:uid="{366DDACB-3B90-456F-8769-F511A953F73A}">
      <text>
        <r>
          <rPr>
            <b/>
            <sz val="9"/>
            <color indexed="81"/>
            <rFont val="Tahoma"/>
            <family val="2"/>
          </rPr>
          <t>=IF($C16="","",IFERROR(CIQ($C16,"IQ_TOTAL_REV",M$8,vd,,,curr)*$L$3,""))</t>
        </r>
      </text>
    </comment>
    <comment ref="N16" authorId="0" shapeId="0" xr:uid="{BBE63EB1-5849-4F4C-A831-FBD1A43A157E}">
      <text>
        <r>
          <rPr>
            <b/>
            <sz val="9"/>
            <color indexed="81"/>
            <rFont val="Tahoma"/>
            <family val="2"/>
          </rPr>
          <t>=IF($C16="","",IFERROR(CIQ($C16,"IQ_TOTAL_REV",N$8,vd,,,curr)*$L$3,""))</t>
        </r>
      </text>
    </comment>
    <comment ref="D17" authorId="0" shapeId="0" xr:uid="{AAADD0A6-5D48-4CE2-95DC-768F80E6386E}">
      <text>
        <r>
          <rPr>
            <b/>
            <sz val="9"/>
            <color indexed="81"/>
            <rFont val="Tahoma"/>
            <family val="2"/>
          </rPr>
          <t>=IF($C17="","",IFERROR(CIQ($C17,"IQ_TOTAL_REV",D$8,vd,,,curr)*$L$3,""))</t>
        </r>
      </text>
    </comment>
    <comment ref="E17" authorId="0" shapeId="0" xr:uid="{6FF00FCE-8049-4FE4-9347-4991000A2960}">
      <text>
        <r>
          <rPr>
            <b/>
            <sz val="9"/>
            <color indexed="81"/>
            <rFont val="Tahoma"/>
            <family val="2"/>
          </rPr>
          <t>=IF($C17="","",IFERROR(CIQ($C17,"IQ_TOTAL_REV",E$8,vd,,,curr)*$L$3,""))</t>
        </r>
      </text>
    </comment>
    <comment ref="F17" authorId="0" shapeId="0" xr:uid="{EFAC427D-C69F-4950-8964-769B39980458}">
      <text>
        <r>
          <rPr>
            <b/>
            <sz val="9"/>
            <color indexed="81"/>
            <rFont val="Tahoma"/>
            <family val="2"/>
          </rPr>
          <t>=IF($C17="","",IFERROR(CIQ($C17,"IQ_TOTAL_REV",F$8,vd,,,curr)*$L$3,""))</t>
        </r>
      </text>
    </comment>
    <comment ref="G17" authorId="0" shapeId="0" xr:uid="{056E5BA7-962A-4EC9-B355-0AAE57E0B25B}">
      <text>
        <r>
          <rPr>
            <b/>
            <sz val="9"/>
            <color indexed="81"/>
            <rFont val="Tahoma"/>
            <family val="2"/>
          </rPr>
          <t>=IF($C17="","",IFERROR(CIQ($C17,"IQ_TOTAL_REV",G$8,vd,,,curr)*$L$3,""))</t>
        </r>
      </text>
    </comment>
    <comment ref="H17" authorId="0" shapeId="0" xr:uid="{88F95339-9A95-4FD6-BE4D-CB05D8D41AAA}">
      <text>
        <r>
          <rPr>
            <b/>
            <sz val="9"/>
            <color indexed="81"/>
            <rFont val="Tahoma"/>
            <family val="2"/>
          </rPr>
          <t>=IF($C17="","",IFERROR(CIQ($C17,"IQ_TOTAL_REV",H$8,vd,,,curr)*$L$3,""))</t>
        </r>
      </text>
    </comment>
    <comment ref="I17" authorId="0" shapeId="0" xr:uid="{F2A7DCBB-F4BC-4144-A6C8-3CF55AF94E86}">
      <text>
        <r>
          <rPr>
            <b/>
            <sz val="9"/>
            <color indexed="81"/>
            <rFont val="Tahoma"/>
            <family val="2"/>
          </rPr>
          <t>=IF($C17="","",IFERROR(CIQ($C17,"IQ_TOTAL_REV",I$8,vd,,,curr)*$L$3,""))</t>
        </r>
      </text>
    </comment>
    <comment ref="J17" authorId="0" shapeId="0" xr:uid="{43F172BF-3B37-4526-AE2D-81A886203EB1}">
      <text>
        <r>
          <rPr>
            <b/>
            <sz val="9"/>
            <color indexed="81"/>
            <rFont val="Tahoma"/>
            <family val="2"/>
          </rPr>
          <t>=IF($C17="","",IFERROR(CIQ($C17,"IQ_TOTAL_REV",J$8,vd,,,curr)*$L$3,""))</t>
        </r>
      </text>
    </comment>
    <comment ref="K17" authorId="0" shapeId="0" xr:uid="{3251E960-9F50-4C22-8D82-766D9367BFB2}">
      <text>
        <r>
          <rPr>
            <b/>
            <sz val="9"/>
            <color indexed="81"/>
            <rFont val="Tahoma"/>
            <family val="2"/>
          </rPr>
          <t>=IF($C17="","",IFERROR(CIQ($C17,"IQ_TOTAL_REV",K$8,vd,,,curr)*$L$3,""))</t>
        </r>
      </text>
    </comment>
    <comment ref="L17" authorId="0" shapeId="0" xr:uid="{D125141C-FCCA-467C-962D-AEFAB64FC1D6}">
      <text>
        <r>
          <rPr>
            <b/>
            <sz val="9"/>
            <color indexed="81"/>
            <rFont val="Tahoma"/>
            <family val="2"/>
          </rPr>
          <t>=IF($C17="","",IFERROR(CIQ($C17,"IQ_TOTAL_REV",L$8,vd,,,curr)*$L$3,""))</t>
        </r>
      </text>
    </comment>
    <comment ref="M17" authorId="0" shapeId="0" xr:uid="{30F0FD38-4785-4862-9705-A70AC9B8D66A}">
      <text>
        <r>
          <rPr>
            <b/>
            <sz val="9"/>
            <color indexed="81"/>
            <rFont val="Tahoma"/>
            <family val="2"/>
          </rPr>
          <t>=IF($C17="","",IFERROR(CIQ($C17,"IQ_TOTAL_REV",M$8,vd,,,curr)*$L$3,""))</t>
        </r>
      </text>
    </comment>
    <comment ref="N17" authorId="0" shapeId="0" xr:uid="{DD13353B-3A1C-464E-BAA2-DF4791B13CA4}">
      <text>
        <r>
          <rPr>
            <b/>
            <sz val="9"/>
            <color indexed="81"/>
            <rFont val="Tahoma"/>
            <family val="2"/>
          </rPr>
          <t>=IF($C17="","",IFERROR(CIQ($C17,"IQ_TOTAL_REV",N$8,vd,,,curr)*$L$3,""))</t>
        </r>
      </text>
    </comment>
    <comment ref="D18" authorId="0" shapeId="0" xr:uid="{04C36732-DAAC-4EC3-8835-D65544847D6E}">
      <text>
        <r>
          <rPr>
            <b/>
            <sz val="9"/>
            <color indexed="81"/>
            <rFont val="Tahoma"/>
            <family val="2"/>
          </rPr>
          <t>=IF($C18="","",IFERROR(CIQ($C18,"IQ_TOTAL_REV",D$8,vd,,,curr)*$L$3,""))</t>
        </r>
      </text>
    </comment>
    <comment ref="E18" authorId="0" shapeId="0" xr:uid="{A4484D93-3010-432D-B756-AC4DD257BAF4}">
      <text>
        <r>
          <rPr>
            <b/>
            <sz val="9"/>
            <color indexed="81"/>
            <rFont val="Tahoma"/>
            <family val="2"/>
          </rPr>
          <t>=IF($C18="","",IFERROR(CIQ($C18,"IQ_TOTAL_REV",E$8,vd,,,curr)*$L$3,""))</t>
        </r>
      </text>
    </comment>
    <comment ref="F18" authorId="0" shapeId="0" xr:uid="{74C8EE50-1A32-4DED-8A4F-8F67711EF354}">
      <text>
        <r>
          <rPr>
            <b/>
            <sz val="9"/>
            <color indexed="81"/>
            <rFont val="Tahoma"/>
            <family val="2"/>
          </rPr>
          <t>=IF($C18="","",IFERROR(CIQ($C18,"IQ_TOTAL_REV",F$8,vd,,,curr)*$L$3,""))</t>
        </r>
      </text>
    </comment>
    <comment ref="G18" authorId="0" shapeId="0" xr:uid="{581B1D45-1E0C-4713-80F0-C64D321B32BB}">
      <text>
        <r>
          <rPr>
            <b/>
            <sz val="9"/>
            <color indexed="81"/>
            <rFont val="Tahoma"/>
            <family val="2"/>
          </rPr>
          <t>=IF($C18="","",IFERROR(CIQ($C18,"IQ_TOTAL_REV",G$8,vd,,,curr)*$L$3,""))</t>
        </r>
      </text>
    </comment>
    <comment ref="H18" authorId="0" shapeId="0" xr:uid="{8749D7AB-3AA8-4181-8081-558D246DC73E}">
      <text>
        <r>
          <rPr>
            <b/>
            <sz val="9"/>
            <color indexed="81"/>
            <rFont val="Tahoma"/>
            <family val="2"/>
          </rPr>
          <t>=IF($C18="","",IFERROR(CIQ($C18,"IQ_TOTAL_REV",H$8,vd,,,curr)*$L$3,""))</t>
        </r>
      </text>
    </comment>
    <comment ref="I18" authorId="0" shapeId="0" xr:uid="{12F25E52-4500-4EAF-BF82-E60CEBFB2CFE}">
      <text>
        <r>
          <rPr>
            <b/>
            <sz val="9"/>
            <color indexed="81"/>
            <rFont val="Tahoma"/>
            <family val="2"/>
          </rPr>
          <t>=IF($C18="","",IFERROR(CIQ($C18,"IQ_TOTAL_REV",I$8,vd,,,curr)*$L$3,""))</t>
        </r>
      </text>
    </comment>
    <comment ref="J18" authorId="0" shapeId="0" xr:uid="{915E9FD5-6DF2-4240-B0EB-61C391672891}">
      <text>
        <r>
          <rPr>
            <b/>
            <sz val="9"/>
            <color indexed="81"/>
            <rFont val="Tahoma"/>
            <family val="2"/>
          </rPr>
          <t>=IF($C18="","",IFERROR(CIQ($C18,"IQ_TOTAL_REV",J$8,vd,,,curr)*$L$3,""))</t>
        </r>
      </text>
    </comment>
    <comment ref="K18" authorId="0" shapeId="0" xr:uid="{1C996913-A79C-4149-A666-EC850574D663}">
      <text>
        <r>
          <rPr>
            <b/>
            <sz val="9"/>
            <color indexed="81"/>
            <rFont val="Tahoma"/>
            <family val="2"/>
          </rPr>
          <t>=IF($C18="","",IFERROR(CIQ($C18,"IQ_TOTAL_REV",K$8,vd,,,curr)*$L$3,""))</t>
        </r>
      </text>
    </comment>
    <comment ref="L18" authorId="0" shapeId="0" xr:uid="{92FD9E5C-8500-41F8-AB68-C2F00785B329}">
      <text>
        <r>
          <rPr>
            <b/>
            <sz val="9"/>
            <color indexed="81"/>
            <rFont val="Tahoma"/>
            <family val="2"/>
          </rPr>
          <t>=IF($C18="","",IFERROR(CIQ($C18,"IQ_TOTAL_REV",L$8,vd,,,curr)*$L$3,""))</t>
        </r>
      </text>
    </comment>
    <comment ref="M18" authorId="0" shapeId="0" xr:uid="{E616082C-888A-4BBB-A899-EF4D20596EE2}">
      <text>
        <r>
          <rPr>
            <b/>
            <sz val="9"/>
            <color indexed="81"/>
            <rFont val="Tahoma"/>
            <family val="2"/>
          </rPr>
          <t>=IF($C18="","",IFERROR(CIQ($C18,"IQ_TOTAL_REV",M$8,vd,,,curr)*$L$3,""))</t>
        </r>
      </text>
    </comment>
    <comment ref="N18" authorId="0" shapeId="0" xr:uid="{694E2085-1B14-4889-B439-2BD50CC3FD92}">
      <text>
        <r>
          <rPr>
            <b/>
            <sz val="9"/>
            <color indexed="81"/>
            <rFont val="Tahoma"/>
            <family val="2"/>
          </rPr>
          <t>=IF($C18="","",IFERROR(CIQ($C18,"IQ_TOTAL_REV",N$8,vd,,,curr)*$L$3,""))</t>
        </r>
      </text>
    </comment>
    <comment ref="D19" authorId="0" shapeId="0" xr:uid="{1455DA2E-2D68-4A90-8496-FFE90936FA5B}">
      <text>
        <r>
          <rPr>
            <b/>
            <sz val="9"/>
            <color indexed="81"/>
            <rFont val="Tahoma"/>
            <family val="2"/>
          </rPr>
          <t>=IF($C19="","",IFERROR(CIQ($C19,"IQ_TOTAL_REV",D$8,vd,,,curr)*$L$3,""))</t>
        </r>
      </text>
    </comment>
    <comment ref="E19" authorId="0" shapeId="0" xr:uid="{FFCD4DF8-BBBA-42A8-8247-DB52224C5E52}">
      <text>
        <r>
          <rPr>
            <b/>
            <sz val="9"/>
            <color indexed="81"/>
            <rFont val="Tahoma"/>
            <family val="2"/>
          </rPr>
          <t>=IF($C19="","",IFERROR(CIQ($C19,"IQ_TOTAL_REV",E$8,vd,,,curr)*$L$3,""))</t>
        </r>
      </text>
    </comment>
    <comment ref="F19" authorId="0" shapeId="0" xr:uid="{2AEC02DD-94F8-4580-8CA3-8C70078B44FD}">
      <text>
        <r>
          <rPr>
            <b/>
            <sz val="9"/>
            <color indexed="81"/>
            <rFont val="Tahoma"/>
            <family val="2"/>
          </rPr>
          <t>=IF($C19="","",IFERROR(CIQ($C19,"IQ_TOTAL_REV",F$8,vd,,,curr)*$L$3,""))</t>
        </r>
      </text>
    </comment>
    <comment ref="G19" authorId="0" shapeId="0" xr:uid="{3D5D7EC9-81A2-42FB-87F2-29B294C56729}">
      <text>
        <r>
          <rPr>
            <b/>
            <sz val="9"/>
            <color indexed="81"/>
            <rFont val="Tahoma"/>
            <family val="2"/>
          </rPr>
          <t>=IF($C19="","",IFERROR(CIQ($C19,"IQ_TOTAL_REV",G$8,vd,,,curr)*$L$3,""))</t>
        </r>
      </text>
    </comment>
    <comment ref="H19" authorId="0" shapeId="0" xr:uid="{86E1C541-BBB8-48F0-B443-E4CD69B7242F}">
      <text>
        <r>
          <rPr>
            <b/>
            <sz val="9"/>
            <color indexed="81"/>
            <rFont val="Tahoma"/>
            <family val="2"/>
          </rPr>
          <t>=IF($C19="","",IFERROR(CIQ($C19,"IQ_TOTAL_REV",H$8,vd,,,curr)*$L$3,""))</t>
        </r>
      </text>
    </comment>
    <comment ref="I19" authorId="0" shapeId="0" xr:uid="{6010D410-889F-4B7E-AD35-35BD9163B469}">
      <text>
        <r>
          <rPr>
            <b/>
            <sz val="9"/>
            <color indexed="81"/>
            <rFont val="Tahoma"/>
            <family val="2"/>
          </rPr>
          <t>=IF($C19="","",IFERROR(CIQ($C19,"IQ_TOTAL_REV",I$8,vd,,,curr)*$L$3,""))</t>
        </r>
      </text>
    </comment>
    <comment ref="J19" authorId="0" shapeId="0" xr:uid="{E2D20EFD-3037-4BAF-8879-ED042B0B5A9C}">
      <text>
        <r>
          <rPr>
            <b/>
            <sz val="9"/>
            <color indexed="81"/>
            <rFont val="Tahoma"/>
            <family val="2"/>
          </rPr>
          <t>=IF($C19="","",IFERROR(CIQ($C19,"IQ_TOTAL_REV",J$8,vd,,,curr)*$L$3,""))</t>
        </r>
      </text>
    </comment>
    <comment ref="K19" authorId="0" shapeId="0" xr:uid="{BAD655AB-AE34-4BDE-AF06-E43AC43D0337}">
      <text>
        <r>
          <rPr>
            <b/>
            <sz val="9"/>
            <color indexed="81"/>
            <rFont val="Tahoma"/>
            <family val="2"/>
          </rPr>
          <t>=IF($C19="","",IFERROR(CIQ($C19,"IQ_TOTAL_REV",K$8,vd,,,curr)*$L$3,""))</t>
        </r>
      </text>
    </comment>
    <comment ref="L19" authorId="0" shapeId="0" xr:uid="{6DC7EAFE-3492-4137-9358-19C585F3F30D}">
      <text>
        <r>
          <rPr>
            <b/>
            <sz val="9"/>
            <color indexed="81"/>
            <rFont val="Tahoma"/>
            <family val="2"/>
          </rPr>
          <t>=IF($C19="","",IFERROR(CIQ($C19,"IQ_TOTAL_REV",L$8,vd,,,curr)*$L$3,""))</t>
        </r>
      </text>
    </comment>
    <comment ref="M19" authorId="0" shapeId="0" xr:uid="{14A9AADD-6FA3-4538-BF94-3AED39C30CD5}">
      <text>
        <r>
          <rPr>
            <b/>
            <sz val="9"/>
            <color indexed="81"/>
            <rFont val="Tahoma"/>
            <family val="2"/>
          </rPr>
          <t>=IF($C19="","",IFERROR(CIQ($C19,"IQ_TOTAL_REV",M$8,vd,,,curr)*$L$3,""))</t>
        </r>
      </text>
    </comment>
    <comment ref="N19" authorId="0" shapeId="0" xr:uid="{04622FA1-700F-47C5-8FAA-F55EFC0E87C2}">
      <text>
        <r>
          <rPr>
            <b/>
            <sz val="9"/>
            <color indexed="81"/>
            <rFont val="Tahoma"/>
            <family val="2"/>
          </rPr>
          <t>=IF($C19="","",IFERROR(CIQ($C19,"IQ_TOTAL_REV",N$8,vd,,,curr)*$L$3,""))</t>
        </r>
      </text>
    </comment>
    <comment ref="D20" authorId="0" shapeId="0" xr:uid="{9B2029EA-AB47-4D5E-8131-A631C08AFA5D}">
      <text>
        <r>
          <rPr>
            <b/>
            <sz val="9"/>
            <color indexed="81"/>
            <rFont val="Tahoma"/>
            <family val="2"/>
          </rPr>
          <t>=IF($C20="","",IFERROR(CIQ($C20,"IQ_TOTAL_REV",D$8,vd,,,curr)*$L$3,""))</t>
        </r>
      </text>
    </comment>
    <comment ref="E20" authorId="0" shapeId="0" xr:uid="{C7ED3079-3F72-4C6E-90AF-C63D77B26A68}">
      <text>
        <r>
          <rPr>
            <b/>
            <sz val="9"/>
            <color indexed="81"/>
            <rFont val="Tahoma"/>
            <family val="2"/>
          </rPr>
          <t>=IF($C20="","",IFERROR(CIQ($C20,"IQ_TOTAL_REV",E$8,vd,,,curr)*$L$3,""))</t>
        </r>
      </text>
    </comment>
    <comment ref="F20" authorId="0" shapeId="0" xr:uid="{B79D39EC-1F2C-4CAB-856E-FD6A7C152B81}">
      <text>
        <r>
          <rPr>
            <b/>
            <sz val="9"/>
            <color indexed="81"/>
            <rFont val="Tahoma"/>
            <family val="2"/>
          </rPr>
          <t>=IF($C20="","",IFERROR(CIQ($C20,"IQ_TOTAL_REV",F$8,vd,,,curr)*$L$3,""))</t>
        </r>
      </text>
    </comment>
    <comment ref="G20" authorId="0" shapeId="0" xr:uid="{B68F1E0C-4BC5-4528-AC01-474231099516}">
      <text>
        <r>
          <rPr>
            <b/>
            <sz val="9"/>
            <color indexed="81"/>
            <rFont val="Tahoma"/>
            <family val="2"/>
          </rPr>
          <t>=IF($C20="","",IFERROR(CIQ($C20,"IQ_TOTAL_REV",G$8,vd,,,curr)*$L$3,""))</t>
        </r>
      </text>
    </comment>
    <comment ref="H20" authorId="0" shapeId="0" xr:uid="{4E9D3847-EC88-4461-9188-23A9B90A35B1}">
      <text>
        <r>
          <rPr>
            <b/>
            <sz val="9"/>
            <color indexed="81"/>
            <rFont val="Tahoma"/>
            <family val="2"/>
          </rPr>
          <t>=IF($C20="","",IFERROR(CIQ($C20,"IQ_TOTAL_REV",H$8,vd,,,curr)*$L$3,""))</t>
        </r>
      </text>
    </comment>
    <comment ref="I20" authorId="0" shapeId="0" xr:uid="{65B287AB-7D6E-4CB9-9C73-678A9FA82777}">
      <text>
        <r>
          <rPr>
            <b/>
            <sz val="9"/>
            <color indexed="81"/>
            <rFont val="Tahoma"/>
            <family val="2"/>
          </rPr>
          <t>=IF($C20="","",IFERROR(CIQ($C20,"IQ_TOTAL_REV",I$8,vd,,,curr)*$L$3,""))</t>
        </r>
      </text>
    </comment>
    <comment ref="J20" authorId="0" shapeId="0" xr:uid="{0F583A44-C8D3-4E58-A2D0-C6AD665E0663}">
      <text>
        <r>
          <rPr>
            <b/>
            <sz val="9"/>
            <color indexed="81"/>
            <rFont val="Tahoma"/>
            <family val="2"/>
          </rPr>
          <t>=IF($C20="","",IFERROR(CIQ($C20,"IQ_TOTAL_REV",J$8,vd,,,curr)*$L$3,""))</t>
        </r>
      </text>
    </comment>
    <comment ref="K20" authorId="0" shapeId="0" xr:uid="{0F1BCF6E-980E-4B77-BBE4-837747E9C1BF}">
      <text>
        <r>
          <rPr>
            <b/>
            <sz val="9"/>
            <color indexed="81"/>
            <rFont val="Tahoma"/>
            <family val="2"/>
          </rPr>
          <t>=IF($C20="","",IFERROR(CIQ($C20,"IQ_TOTAL_REV",K$8,vd,,,curr)*$L$3,""))</t>
        </r>
      </text>
    </comment>
    <comment ref="L20" authorId="0" shapeId="0" xr:uid="{C84A4535-9CE8-4F1D-869F-AAFCB5E0E70C}">
      <text>
        <r>
          <rPr>
            <b/>
            <sz val="9"/>
            <color indexed="81"/>
            <rFont val="Tahoma"/>
            <family val="2"/>
          </rPr>
          <t>=IF($C20="","",IFERROR(CIQ($C20,"IQ_TOTAL_REV",L$8,vd,,,curr)*$L$3,""))</t>
        </r>
      </text>
    </comment>
    <comment ref="M20" authorId="0" shapeId="0" xr:uid="{28D6158E-D598-4590-9478-E934957C2A9A}">
      <text>
        <r>
          <rPr>
            <b/>
            <sz val="9"/>
            <color indexed="81"/>
            <rFont val="Tahoma"/>
            <family val="2"/>
          </rPr>
          <t>=IF($C20="","",IFERROR(CIQ($C20,"IQ_TOTAL_REV",M$8,vd,,,curr)*$L$3,""))</t>
        </r>
      </text>
    </comment>
    <comment ref="N20" authorId="0" shapeId="0" xr:uid="{E4144613-7D75-42AE-A6B2-5582A734A801}">
      <text>
        <r>
          <rPr>
            <b/>
            <sz val="9"/>
            <color indexed="81"/>
            <rFont val="Tahoma"/>
            <family val="2"/>
          </rPr>
          <t>=IF($C20="","",IFERROR(CIQ($C20,"IQ_TOTAL_REV",N$8,vd,,,curr)*$L$3,""))</t>
        </r>
      </text>
    </comment>
    <comment ref="D21" authorId="0" shapeId="0" xr:uid="{5376906F-5ED2-4F7C-8725-0F26B07CF510}">
      <text>
        <r>
          <rPr>
            <b/>
            <sz val="9"/>
            <color indexed="81"/>
            <rFont val="Tahoma"/>
            <family val="2"/>
          </rPr>
          <t>=IF($C21="","",IFERROR(CIQ($C21,"IQ_TOTAL_REV",D$8,vd,,,curr)*$L$3,""))</t>
        </r>
      </text>
    </comment>
    <comment ref="E21" authorId="0" shapeId="0" xr:uid="{8247B788-B40E-4D67-AB86-B0053F56B0A3}">
      <text>
        <r>
          <rPr>
            <b/>
            <sz val="9"/>
            <color indexed="81"/>
            <rFont val="Tahoma"/>
            <family val="2"/>
          </rPr>
          <t>=IF($C21="","",IFERROR(CIQ($C21,"IQ_TOTAL_REV",E$8,vd,,,curr)*$L$3,""))</t>
        </r>
      </text>
    </comment>
    <comment ref="F21" authorId="0" shapeId="0" xr:uid="{9343C113-187E-4CD0-9CF2-A43AFE3D30DF}">
      <text>
        <r>
          <rPr>
            <b/>
            <sz val="9"/>
            <color indexed="81"/>
            <rFont val="Tahoma"/>
            <family val="2"/>
          </rPr>
          <t>=IF($C21="","",IFERROR(CIQ($C21,"IQ_TOTAL_REV",F$8,vd,,,curr)*$L$3,""))</t>
        </r>
      </text>
    </comment>
    <comment ref="G21" authorId="0" shapeId="0" xr:uid="{A7F14C4A-CF16-40FC-BAA6-469FEC25681B}">
      <text>
        <r>
          <rPr>
            <b/>
            <sz val="9"/>
            <color indexed="81"/>
            <rFont val="Tahoma"/>
            <family val="2"/>
          </rPr>
          <t>=IF($C21="","",IFERROR(CIQ($C21,"IQ_TOTAL_REV",G$8,vd,,,curr)*$L$3,""))</t>
        </r>
      </text>
    </comment>
    <comment ref="H21" authorId="0" shapeId="0" xr:uid="{CDF3631F-1A7E-4257-9293-2B3FFB7468B6}">
      <text>
        <r>
          <rPr>
            <b/>
            <sz val="9"/>
            <color indexed="81"/>
            <rFont val="Tahoma"/>
            <family val="2"/>
          </rPr>
          <t>=IF($C21="","",IFERROR(CIQ($C21,"IQ_TOTAL_REV",H$8,vd,,,curr)*$L$3,""))</t>
        </r>
      </text>
    </comment>
    <comment ref="I21" authorId="0" shapeId="0" xr:uid="{815C0760-8890-44D0-940B-CFD52D9A2968}">
      <text>
        <r>
          <rPr>
            <b/>
            <sz val="9"/>
            <color indexed="81"/>
            <rFont val="Tahoma"/>
            <family val="2"/>
          </rPr>
          <t>=IF($C21="","",IFERROR(CIQ($C21,"IQ_TOTAL_REV",I$8,vd,,,curr)*$L$3,""))</t>
        </r>
      </text>
    </comment>
    <comment ref="J21" authorId="0" shapeId="0" xr:uid="{F683A129-E81F-4B97-BA32-C6BCAE1B7A44}">
      <text>
        <r>
          <rPr>
            <b/>
            <sz val="9"/>
            <color indexed="81"/>
            <rFont val="Tahoma"/>
            <family val="2"/>
          </rPr>
          <t>=IF($C21="","",IFERROR(CIQ($C21,"IQ_TOTAL_REV",J$8,vd,,,curr)*$L$3,""))</t>
        </r>
      </text>
    </comment>
    <comment ref="K21" authorId="0" shapeId="0" xr:uid="{57DC14B7-D5C5-4F53-8446-52DC012B66EF}">
      <text>
        <r>
          <rPr>
            <b/>
            <sz val="9"/>
            <color indexed="81"/>
            <rFont val="Tahoma"/>
            <family val="2"/>
          </rPr>
          <t>=IF($C21="","",IFERROR(CIQ($C21,"IQ_TOTAL_REV",K$8,vd,,,curr)*$L$3,""))</t>
        </r>
      </text>
    </comment>
    <comment ref="L21" authorId="0" shapeId="0" xr:uid="{A56C19F7-4A13-4654-B7C8-DB893913D74D}">
      <text>
        <r>
          <rPr>
            <b/>
            <sz val="9"/>
            <color indexed="81"/>
            <rFont val="Tahoma"/>
            <family val="2"/>
          </rPr>
          <t>=IF($C21="","",IFERROR(CIQ($C21,"IQ_TOTAL_REV",L$8,vd,,,curr)*$L$3,""))</t>
        </r>
      </text>
    </comment>
    <comment ref="M21" authorId="0" shapeId="0" xr:uid="{7A0A3E9D-E650-4D93-8281-11897D0D6F5E}">
      <text>
        <r>
          <rPr>
            <b/>
            <sz val="9"/>
            <color indexed="81"/>
            <rFont val="Tahoma"/>
            <family val="2"/>
          </rPr>
          <t>=IF($C21="","",IFERROR(CIQ($C21,"IQ_TOTAL_REV",M$8,vd,,,curr)*$L$3,""))</t>
        </r>
      </text>
    </comment>
    <comment ref="N21" authorId="0" shapeId="0" xr:uid="{C9B63DC7-F536-4493-957B-C6C6368C43EB}">
      <text>
        <r>
          <rPr>
            <b/>
            <sz val="9"/>
            <color indexed="81"/>
            <rFont val="Tahoma"/>
            <family val="2"/>
          </rPr>
          <t>=IF($C21="","",IFERROR(CIQ($C21,"IQ_TOTAL_REV",N$8,vd,,,curr)*$L$3,""))</t>
        </r>
      </text>
    </comment>
    <comment ref="D22" authorId="0" shapeId="0" xr:uid="{B39A234A-D4A9-47AB-81DF-91D949CBE2F3}">
      <text>
        <r>
          <rPr>
            <b/>
            <sz val="9"/>
            <color indexed="81"/>
            <rFont val="Tahoma"/>
            <family val="2"/>
          </rPr>
          <t>=IF($C22="","",IFERROR(CIQ($C22,"IQ_TOTAL_REV",D$8,vd,,,curr)*$L$3,""))</t>
        </r>
      </text>
    </comment>
    <comment ref="E22" authorId="0" shapeId="0" xr:uid="{572CC47B-182C-421D-B1DB-908439ED699C}">
      <text>
        <r>
          <rPr>
            <b/>
            <sz val="9"/>
            <color indexed="81"/>
            <rFont val="Tahoma"/>
            <family val="2"/>
          </rPr>
          <t>=IF($C22="","",IFERROR(CIQ($C22,"IQ_TOTAL_REV",E$8,vd,,,curr)*$L$3,""))</t>
        </r>
      </text>
    </comment>
    <comment ref="F22" authorId="0" shapeId="0" xr:uid="{562A04DB-9F0B-4658-8EDE-ECE40BAFA947}">
      <text>
        <r>
          <rPr>
            <b/>
            <sz val="9"/>
            <color indexed="81"/>
            <rFont val="Tahoma"/>
            <family val="2"/>
          </rPr>
          <t>=IF($C22="","",IFERROR(CIQ($C22,"IQ_TOTAL_REV",F$8,vd,,,curr)*$L$3,""))</t>
        </r>
      </text>
    </comment>
    <comment ref="G22" authorId="0" shapeId="0" xr:uid="{FBEE3435-5899-433B-8697-BAFD3A956ABC}">
      <text>
        <r>
          <rPr>
            <b/>
            <sz val="9"/>
            <color indexed="81"/>
            <rFont val="Tahoma"/>
            <family val="2"/>
          </rPr>
          <t>=IF($C22="","",IFERROR(CIQ($C22,"IQ_TOTAL_REV",G$8,vd,,,curr)*$L$3,""))</t>
        </r>
      </text>
    </comment>
    <comment ref="H22" authorId="0" shapeId="0" xr:uid="{BB89D637-AEF2-4B8F-BD18-5B41DC5DEC35}">
      <text>
        <r>
          <rPr>
            <b/>
            <sz val="9"/>
            <color indexed="81"/>
            <rFont val="Tahoma"/>
            <family val="2"/>
          </rPr>
          <t>=IF($C22="","",IFERROR(CIQ($C22,"IQ_TOTAL_REV",H$8,vd,,,curr)*$L$3,""))</t>
        </r>
      </text>
    </comment>
    <comment ref="I22" authorId="0" shapeId="0" xr:uid="{559E1A69-9AFD-40E0-BEAC-653D720D7209}">
      <text>
        <r>
          <rPr>
            <b/>
            <sz val="9"/>
            <color indexed="81"/>
            <rFont val="Tahoma"/>
            <family val="2"/>
          </rPr>
          <t>=IF($C22="","",IFERROR(CIQ($C22,"IQ_TOTAL_REV",I$8,vd,,,curr)*$L$3,""))</t>
        </r>
      </text>
    </comment>
    <comment ref="J22" authorId="0" shapeId="0" xr:uid="{F47DB126-7451-4CC0-ABB6-8C141063AB6C}">
      <text>
        <r>
          <rPr>
            <b/>
            <sz val="9"/>
            <color indexed="81"/>
            <rFont val="Tahoma"/>
            <family val="2"/>
          </rPr>
          <t>=IF($C22="","",IFERROR(CIQ($C22,"IQ_TOTAL_REV",J$8,vd,,,curr)*$L$3,""))</t>
        </r>
      </text>
    </comment>
    <comment ref="K22" authorId="0" shapeId="0" xr:uid="{59583F51-4964-4509-9FDA-C62F72CEAEAA}">
      <text>
        <r>
          <rPr>
            <b/>
            <sz val="9"/>
            <color indexed="81"/>
            <rFont val="Tahoma"/>
            <family val="2"/>
          </rPr>
          <t>=IF($C22="","",IFERROR(CIQ($C22,"IQ_TOTAL_REV",K$8,vd,,,curr)*$L$3,""))</t>
        </r>
      </text>
    </comment>
    <comment ref="L22" authorId="0" shapeId="0" xr:uid="{717D4136-E196-4FE4-AA97-268C4D05EFDF}">
      <text>
        <r>
          <rPr>
            <b/>
            <sz val="9"/>
            <color indexed="81"/>
            <rFont val="Tahoma"/>
            <family val="2"/>
          </rPr>
          <t>=IF($C22="","",IFERROR(CIQ($C22,"IQ_TOTAL_REV",L$8,vd,,,curr)*$L$3,""))</t>
        </r>
      </text>
    </comment>
    <comment ref="M22" authorId="0" shapeId="0" xr:uid="{3B92ADCB-1CD9-407D-8BE6-0F0FB0D1EAD8}">
      <text>
        <r>
          <rPr>
            <b/>
            <sz val="9"/>
            <color indexed="81"/>
            <rFont val="Tahoma"/>
            <family val="2"/>
          </rPr>
          <t>=IF($C22="","",IFERROR(CIQ($C22,"IQ_TOTAL_REV",M$8,vd,,,curr)*$L$3,""))</t>
        </r>
      </text>
    </comment>
    <comment ref="N22" authorId="0" shapeId="0" xr:uid="{FC0521FF-4DA6-42C2-BEA9-48E3B6EFEB60}">
      <text>
        <r>
          <rPr>
            <b/>
            <sz val="9"/>
            <color indexed="81"/>
            <rFont val="Tahoma"/>
            <family val="2"/>
          </rPr>
          <t>=IF($C22="","",IFERROR(CIQ($C22,"IQ_TOTAL_REV",N$8,vd,,,curr)*$L$3,""))</t>
        </r>
      </text>
    </comment>
    <comment ref="D23" authorId="0" shapeId="0" xr:uid="{50BD78B0-754F-4389-980B-B71F2497F137}">
      <text>
        <r>
          <rPr>
            <b/>
            <sz val="9"/>
            <color indexed="81"/>
            <rFont val="Tahoma"/>
            <family val="2"/>
          </rPr>
          <t>=IF($C23="","",IFERROR(CIQ($C23,"IQ_TOTAL_REV",D$8,vd,,,curr)*$L$3,""))</t>
        </r>
      </text>
    </comment>
    <comment ref="E23" authorId="0" shapeId="0" xr:uid="{3F39619A-1C38-42FB-9EF5-20741B38D468}">
      <text>
        <r>
          <rPr>
            <b/>
            <sz val="9"/>
            <color indexed="81"/>
            <rFont val="Tahoma"/>
            <family val="2"/>
          </rPr>
          <t>=IF($C23="","",IFERROR(CIQ($C23,"IQ_TOTAL_REV",E$8,vd,,,curr)*$L$3,""))</t>
        </r>
      </text>
    </comment>
    <comment ref="F23" authorId="0" shapeId="0" xr:uid="{38FA5BBA-F4B9-415E-B610-A68B8A5B11CF}">
      <text>
        <r>
          <rPr>
            <b/>
            <sz val="9"/>
            <color indexed="81"/>
            <rFont val="Tahoma"/>
            <family val="2"/>
          </rPr>
          <t>=IF($C23="","",IFERROR(CIQ($C23,"IQ_TOTAL_REV",F$8,vd,,,curr)*$L$3,""))</t>
        </r>
      </text>
    </comment>
    <comment ref="G23" authorId="0" shapeId="0" xr:uid="{44CF601D-748A-4667-818D-F8504871EA1B}">
      <text>
        <r>
          <rPr>
            <b/>
            <sz val="9"/>
            <color indexed="81"/>
            <rFont val="Tahoma"/>
            <family val="2"/>
          </rPr>
          <t>=IF($C23="","",IFERROR(CIQ($C23,"IQ_TOTAL_REV",G$8,vd,,,curr)*$L$3,""))</t>
        </r>
      </text>
    </comment>
    <comment ref="H23" authorId="0" shapeId="0" xr:uid="{A5798D79-FDA4-4B3C-9CFC-86A9BBD08C26}">
      <text>
        <r>
          <rPr>
            <b/>
            <sz val="9"/>
            <color indexed="81"/>
            <rFont val="Tahoma"/>
            <family val="2"/>
          </rPr>
          <t>=IF($C23="","",IFERROR(CIQ($C23,"IQ_TOTAL_REV",H$8,vd,,,curr)*$L$3,""))</t>
        </r>
      </text>
    </comment>
    <comment ref="I23" authorId="0" shapeId="0" xr:uid="{9B39D4ED-E2C2-48C1-9A06-49040D42DA83}">
      <text>
        <r>
          <rPr>
            <b/>
            <sz val="9"/>
            <color indexed="81"/>
            <rFont val="Tahoma"/>
            <family val="2"/>
          </rPr>
          <t>=IF($C23="","",IFERROR(CIQ($C23,"IQ_TOTAL_REV",I$8,vd,,,curr)*$L$3,""))</t>
        </r>
      </text>
    </comment>
    <comment ref="J23" authorId="0" shapeId="0" xr:uid="{1FFD3FE3-3643-410E-8EBA-F3CE06320B48}">
      <text>
        <r>
          <rPr>
            <b/>
            <sz val="9"/>
            <color indexed="81"/>
            <rFont val="Tahoma"/>
            <family val="2"/>
          </rPr>
          <t>=IF($C23="","",IFERROR(CIQ($C23,"IQ_TOTAL_REV",J$8,vd,,,curr)*$L$3,""))</t>
        </r>
      </text>
    </comment>
    <comment ref="K23" authorId="0" shapeId="0" xr:uid="{F59B9079-379A-4619-AD8E-28D2BC208146}">
      <text>
        <r>
          <rPr>
            <b/>
            <sz val="9"/>
            <color indexed="81"/>
            <rFont val="Tahoma"/>
            <family val="2"/>
          </rPr>
          <t>=IF($C23="","",IFERROR(CIQ($C23,"IQ_TOTAL_REV",K$8,vd,,,curr)*$L$3,""))</t>
        </r>
      </text>
    </comment>
    <comment ref="L23" authorId="0" shapeId="0" xr:uid="{C31352CF-175A-4831-8F07-8AB02D53B63B}">
      <text>
        <r>
          <rPr>
            <b/>
            <sz val="9"/>
            <color indexed="81"/>
            <rFont val="Tahoma"/>
            <family val="2"/>
          </rPr>
          <t>=IF($C23="","",IFERROR(CIQ($C23,"IQ_TOTAL_REV",L$8,vd,,,curr)*$L$3,""))</t>
        </r>
      </text>
    </comment>
    <comment ref="M23" authorId="0" shapeId="0" xr:uid="{3D8DF662-6618-4A5D-90B9-3B5504A55919}">
      <text>
        <r>
          <rPr>
            <b/>
            <sz val="9"/>
            <color indexed="81"/>
            <rFont val="Tahoma"/>
            <family val="2"/>
          </rPr>
          <t>=IF($C23="","",IFERROR(CIQ($C23,"IQ_TOTAL_REV",M$8,vd,,,curr)*$L$3,""))</t>
        </r>
      </text>
    </comment>
    <comment ref="N23" authorId="0" shapeId="0" xr:uid="{6D397F50-3230-4B93-962E-7BCD301D65CE}">
      <text>
        <r>
          <rPr>
            <b/>
            <sz val="9"/>
            <color indexed="81"/>
            <rFont val="Tahoma"/>
            <family val="2"/>
          </rPr>
          <t>=IF($C23="","",IFERROR(CIQ($C23,"IQ_TOTAL_REV",N$8,vd,,,curr)*$L$3,""))</t>
        </r>
      </text>
    </comment>
    <comment ref="D29" authorId="0" shapeId="0" xr:uid="{FED3A702-185F-4738-A556-2489EA9EC4BA}">
      <text>
        <r>
          <rPr>
            <b/>
            <sz val="9"/>
            <color indexed="81"/>
            <rFont val="Tahoma"/>
            <family val="2"/>
          </rPr>
          <t>=IF($C29="","",IFERROR(CIQ($C29,"IQ_GP",D$28,vd,,,curr)*$L$3,""))</t>
        </r>
      </text>
    </comment>
    <comment ref="E29" authorId="0" shapeId="0" xr:uid="{B1C4B064-967E-407F-8858-73168C4CD370}">
      <text>
        <r>
          <rPr>
            <b/>
            <sz val="9"/>
            <color indexed="81"/>
            <rFont val="Tahoma"/>
            <family val="2"/>
          </rPr>
          <t>=IF($C29="","",IFERROR(CIQ($C29,"IQ_GP",E$28,vd,,,curr)*$L$3,""))</t>
        </r>
      </text>
    </comment>
    <comment ref="F29" authorId="0" shapeId="0" xr:uid="{47F16D77-FA24-4CF3-B4AD-F8D1822753CE}">
      <text>
        <r>
          <rPr>
            <b/>
            <sz val="9"/>
            <color indexed="81"/>
            <rFont val="Tahoma"/>
            <family val="2"/>
          </rPr>
          <t>=IF($C29="","",IFERROR(CIQ($C29,"IQ_GP",F$28,vd,,,curr)*$L$3,""))</t>
        </r>
      </text>
    </comment>
    <comment ref="G29" authorId="0" shapeId="0" xr:uid="{AE94275F-D8F9-4C85-BD4B-991887E50AFB}">
      <text>
        <r>
          <rPr>
            <b/>
            <sz val="9"/>
            <color indexed="81"/>
            <rFont val="Tahoma"/>
            <family val="2"/>
          </rPr>
          <t>=IF($C29="","",IFERROR(CIQ($C29,"IQ_GP",G$28,vd,,,curr)*$L$3,""))</t>
        </r>
      </text>
    </comment>
    <comment ref="H29" authorId="0" shapeId="0" xr:uid="{4861C2F8-03B3-4B83-845B-2E855511079A}">
      <text>
        <r>
          <rPr>
            <b/>
            <sz val="9"/>
            <color indexed="81"/>
            <rFont val="Tahoma"/>
            <family val="2"/>
          </rPr>
          <t>=IF($C29="","",IFERROR(CIQ($C29,"IQ_GP",H$28,vd,,,curr)*$L$3,""))</t>
        </r>
      </text>
    </comment>
    <comment ref="I29" authorId="0" shapeId="0" xr:uid="{E9C9AD2B-32CC-46CB-AD30-5685E36B28B5}">
      <text>
        <r>
          <rPr>
            <b/>
            <sz val="9"/>
            <color indexed="81"/>
            <rFont val="Tahoma"/>
            <family val="2"/>
          </rPr>
          <t>=IF($C29="","",IFERROR(CIQ($C29,"IQ_GP",I$28,vd,,,curr)*$L$3,""))</t>
        </r>
      </text>
    </comment>
    <comment ref="J29" authorId="0" shapeId="0" xr:uid="{217DD753-85DB-4DCF-8FC9-B3B132E30E13}">
      <text>
        <r>
          <rPr>
            <b/>
            <sz val="9"/>
            <color indexed="81"/>
            <rFont val="Tahoma"/>
            <family val="2"/>
          </rPr>
          <t>=IF($C29="","",IFERROR(CIQ($C29,"IQ_GP",J$28,vd,,,curr)*$L$3,""))</t>
        </r>
      </text>
    </comment>
    <comment ref="K29" authorId="0" shapeId="0" xr:uid="{FD187FD2-785B-4BB1-876B-6D488B8C2A7E}">
      <text>
        <r>
          <rPr>
            <b/>
            <sz val="9"/>
            <color indexed="81"/>
            <rFont val="Tahoma"/>
            <family val="2"/>
          </rPr>
          <t>=IF($C29="","",IFERROR(CIQ($C29,"IQ_GP",K$28,vd,,,curr)*$L$3,""))</t>
        </r>
      </text>
    </comment>
    <comment ref="L29" authorId="0" shapeId="0" xr:uid="{73F5A6FE-4618-45E2-8FA9-9E224B7AC388}">
      <text>
        <r>
          <rPr>
            <b/>
            <sz val="9"/>
            <color indexed="81"/>
            <rFont val="Tahoma"/>
            <family val="2"/>
          </rPr>
          <t>=IF($C29="","",IFERROR(CIQ($C29,"IQ_GP",L$28,vd,,,curr)*$L$3,""))</t>
        </r>
      </text>
    </comment>
    <comment ref="M29" authorId="0" shapeId="0" xr:uid="{EF171E59-B400-4194-B660-05B12BC20361}">
      <text>
        <r>
          <rPr>
            <b/>
            <sz val="9"/>
            <color indexed="81"/>
            <rFont val="Tahoma"/>
            <family val="2"/>
          </rPr>
          <t>=IF($C29="","",IFERROR(CIQ($C29,"IQ_GP",M$28,vd,,,curr)*$L$3,""))</t>
        </r>
      </text>
    </comment>
    <comment ref="N29" authorId="0" shapeId="0" xr:uid="{449C7E24-0677-4440-B34D-3C3F2068D881}">
      <text>
        <r>
          <rPr>
            <b/>
            <sz val="9"/>
            <color indexed="81"/>
            <rFont val="Tahoma"/>
            <family val="2"/>
          </rPr>
          <t>=IF($C29="","",IFERROR(CIQ($C29,"IQ_GP",N$28,vd,,,curr)*$L$3,""))</t>
        </r>
      </text>
    </comment>
    <comment ref="D30" authorId="0" shapeId="0" xr:uid="{A4ACB7E7-8C44-4FE6-A61D-D68140934386}">
      <text>
        <r>
          <rPr>
            <b/>
            <sz val="9"/>
            <color indexed="81"/>
            <rFont val="Tahoma"/>
            <family val="2"/>
          </rPr>
          <t>=IF($C30="","",IFERROR(CIQ($C30,"IQ_GP",D$28,vd,,,curr)*$L$3,""))</t>
        </r>
      </text>
    </comment>
    <comment ref="E30" authorId="0" shapeId="0" xr:uid="{E23D5C4D-5914-4933-BB4F-6272A147B7EE}">
      <text>
        <r>
          <rPr>
            <b/>
            <sz val="9"/>
            <color indexed="81"/>
            <rFont val="Tahoma"/>
            <family val="2"/>
          </rPr>
          <t>=IF($C30="","",IFERROR(CIQ($C30,"IQ_GP",E$28,vd,,,curr)*$L$3,""))</t>
        </r>
      </text>
    </comment>
    <comment ref="F30" authorId="0" shapeId="0" xr:uid="{6E2474BA-D4FB-4D6A-AE22-7372AB321428}">
      <text>
        <r>
          <rPr>
            <b/>
            <sz val="9"/>
            <color indexed="81"/>
            <rFont val="Tahoma"/>
            <family val="2"/>
          </rPr>
          <t>=IF($C30="","",IFERROR(CIQ($C30,"IQ_GP",F$28,vd,,,curr)*$L$3,""))</t>
        </r>
      </text>
    </comment>
    <comment ref="G30" authorId="0" shapeId="0" xr:uid="{1E6E52B2-E775-4325-B3BD-EF75DB2AA1D9}">
      <text>
        <r>
          <rPr>
            <b/>
            <sz val="9"/>
            <color indexed="81"/>
            <rFont val="Tahoma"/>
            <family val="2"/>
          </rPr>
          <t>=IF($C30="","",IFERROR(CIQ($C30,"IQ_GP",G$28,vd,,,curr)*$L$3,""))</t>
        </r>
      </text>
    </comment>
    <comment ref="H30" authorId="0" shapeId="0" xr:uid="{D0034E62-E748-40A2-9ACD-47F44FA60B07}">
      <text>
        <r>
          <rPr>
            <b/>
            <sz val="9"/>
            <color indexed="81"/>
            <rFont val="Tahoma"/>
            <family val="2"/>
          </rPr>
          <t>=IF($C30="","",IFERROR(CIQ($C30,"IQ_GP",H$28,vd,,,curr)*$L$3,""))</t>
        </r>
      </text>
    </comment>
    <comment ref="I30" authorId="0" shapeId="0" xr:uid="{11419232-DFE2-4CCE-BDFD-6B88BE7ACFEC}">
      <text>
        <r>
          <rPr>
            <b/>
            <sz val="9"/>
            <color indexed="81"/>
            <rFont val="Tahoma"/>
            <family val="2"/>
          </rPr>
          <t>=IF($C30="","",IFERROR(CIQ($C30,"IQ_GP",I$28,vd,,,curr)*$L$3,""))</t>
        </r>
      </text>
    </comment>
    <comment ref="J30" authorId="0" shapeId="0" xr:uid="{2D19FC46-0D97-4CEB-8AE5-BC146EDD98D8}">
      <text>
        <r>
          <rPr>
            <b/>
            <sz val="9"/>
            <color indexed="81"/>
            <rFont val="Tahoma"/>
            <family val="2"/>
          </rPr>
          <t>=IF($C30="","",IFERROR(CIQ($C30,"IQ_GP",J$28,vd,,,curr)*$L$3,""))</t>
        </r>
      </text>
    </comment>
    <comment ref="K30" authorId="0" shapeId="0" xr:uid="{E5890177-F387-4779-B186-DF382AF2F4A7}">
      <text>
        <r>
          <rPr>
            <b/>
            <sz val="9"/>
            <color indexed="81"/>
            <rFont val="Tahoma"/>
            <family val="2"/>
          </rPr>
          <t>=IF($C30="","",IFERROR(CIQ($C30,"IQ_GP",K$28,vd,,,curr)*$L$3,""))</t>
        </r>
      </text>
    </comment>
    <comment ref="L30" authorId="0" shapeId="0" xr:uid="{F1565A0F-DE73-421A-BB12-B66CD83BB036}">
      <text>
        <r>
          <rPr>
            <b/>
            <sz val="9"/>
            <color indexed="81"/>
            <rFont val="Tahoma"/>
            <family val="2"/>
          </rPr>
          <t>=IF($C30="","",IFERROR(CIQ($C30,"IQ_GP",L$28,vd,,,curr)*$L$3,""))</t>
        </r>
      </text>
    </comment>
    <comment ref="M30" authorId="0" shapeId="0" xr:uid="{D721E6A3-9419-4C63-9789-2873729DB4CB}">
      <text>
        <r>
          <rPr>
            <b/>
            <sz val="9"/>
            <color indexed="81"/>
            <rFont val="Tahoma"/>
            <family val="2"/>
          </rPr>
          <t>=IF($C30="","",IFERROR(CIQ($C30,"IQ_GP",M$28,vd,,,curr)*$L$3,""))</t>
        </r>
      </text>
    </comment>
    <comment ref="N30" authorId="0" shapeId="0" xr:uid="{71CE25AA-08A3-4004-8D2B-490AD034240F}">
      <text>
        <r>
          <rPr>
            <b/>
            <sz val="9"/>
            <color indexed="81"/>
            <rFont val="Tahoma"/>
            <family val="2"/>
          </rPr>
          <t>=IF($C30="","",IFERROR(CIQ($C30,"IQ_GP",N$28,vd,,,curr)*$L$3,""))</t>
        </r>
      </text>
    </comment>
    <comment ref="D31" authorId="0" shapeId="0" xr:uid="{F1A3904E-E50A-4C45-98A2-6BBFA20BBD7E}">
      <text>
        <r>
          <rPr>
            <b/>
            <sz val="9"/>
            <color indexed="81"/>
            <rFont val="Tahoma"/>
            <family val="2"/>
          </rPr>
          <t>=IF($C31="","",IFERROR(CIQ($C31,"IQ_GP",D$28,vd,,,curr)*$L$3,""))</t>
        </r>
      </text>
    </comment>
    <comment ref="E31" authorId="0" shapeId="0" xr:uid="{FF023011-AEF1-422B-809C-56ACDBB2A9EE}">
      <text>
        <r>
          <rPr>
            <b/>
            <sz val="9"/>
            <color indexed="81"/>
            <rFont val="Tahoma"/>
            <family val="2"/>
          </rPr>
          <t>=IF($C31="","",IFERROR(CIQ($C31,"IQ_GP",E$28,vd,,,curr)*$L$3,""))</t>
        </r>
      </text>
    </comment>
    <comment ref="F31" authorId="0" shapeId="0" xr:uid="{67355FD9-4FAC-48BE-9680-E9604E4F31BD}">
      <text>
        <r>
          <rPr>
            <b/>
            <sz val="9"/>
            <color indexed="81"/>
            <rFont val="Tahoma"/>
            <family val="2"/>
          </rPr>
          <t>=IF($C31="","",IFERROR(CIQ($C31,"IQ_GP",F$28,vd,,,curr)*$L$3,""))</t>
        </r>
      </text>
    </comment>
    <comment ref="G31" authorId="0" shapeId="0" xr:uid="{FDA4414C-9EAA-4220-AC56-A255E92B3AE7}">
      <text>
        <r>
          <rPr>
            <b/>
            <sz val="9"/>
            <color indexed="81"/>
            <rFont val="Tahoma"/>
            <family val="2"/>
          </rPr>
          <t>=IF($C31="","",IFERROR(CIQ($C31,"IQ_GP",G$28,vd,,,curr)*$L$3,""))</t>
        </r>
      </text>
    </comment>
    <comment ref="H31" authorId="0" shapeId="0" xr:uid="{95975D3B-F4D1-4DE1-A044-CE11DF1BCB53}">
      <text>
        <r>
          <rPr>
            <b/>
            <sz val="9"/>
            <color indexed="81"/>
            <rFont val="Tahoma"/>
            <family val="2"/>
          </rPr>
          <t>=IF($C31="","",IFERROR(CIQ($C31,"IQ_GP",H$28,vd,,,curr)*$L$3,""))</t>
        </r>
      </text>
    </comment>
    <comment ref="I31" authorId="0" shapeId="0" xr:uid="{7CA277CF-A175-440D-B209-1177EE2DE98A}">
      <text>
        <r>
          <rPr>
            <b/>
            <sz val="9"/>
            <color indexed="81"/>
            <rFont val="Tahoma"/>
            <family val="2"/>
          </rPr>
          <t>=IF($C31="","",IFERROR(CIQ($C31,"IQ_GP",I$28,vd,,,curr)*$L$3,""))</t>
        </r>
      </text>
    </comment>
    <comment ref="J31" authorId="0" shapeId="0" xr:uid="{C367E227-E77E-4410-B008-E00F1C3E60ED}">
      <text>
        <r>
          <rPr>
            <b/>
            <sz val="9"/>
            <color indexed="81"/>
            <rFont val="Tahoma"/>
            <family val="2"/>
          </rPr>
          <t>=IF($C31="","",IFERROR(CIQ($C31,"IQ_GP",J$28,vd,,,curr)*$L$3,""))</t>
        </r>
      </text>
    </comment>
    <comment ref="K31" authorId="0" shapeId="0" xr:uid="{C074F18C-BAEC-4418-9E03-BEBCBAF70D76}">
      <text>
        <r>
          <rPr>
            <b/>
            <sz val="9"/>
            <color indexed="81"/>
            <rFont val="Tahoma"/>
            <family val="2"/>
          </rPr>
          <t>=IF($C31="","",IFERROR(CIQ($C31,"IQ_GP",K$28,vd,,,curr)*$L$3,""))</t>
        </r>
      </text>
    </comment>
    <comment ref="L31" authorId="0" shapeId="0" xr:uid="{9EE8F46F-61B8-4C3E-BE75-FE9D4AE3F6F1}">
      <text>
        <r>
          <rPr>
            <b/>
            <sz val="9"/>
            <color indexed="81"/>
            <rFont val="Tahoma"/>
            <family val="2"/>
          </rPr>
          <t>=IF($C31="","",IFERROR(CIQ($C31,"IQ_GP",L$28,vd,,,curr)*$L$3,""))</t>
        </r>
      </text>
    </comment>
    <comment ref="M31" authorId="0" shapeId="0" xr:uid="{0CB43501-A2A5-4840-94CB-12303389DB60}">
      <text>
        <r>
          <rPr>
            <b/>
            <sz val="9"/>
            <color indexed="81"/>
            <rFont val="Tahoma"/>
            <family val="2"/>
          </rPr>
          <t>=IF($C31="","",IFERROR(CIQ($C31,"IQ_GP",M$28,vd,,,curr)*$L$3,""))</t>
        </r>
      </text>
    </comment>
    <comment ref="N31" authorId="0" shapeId="0" xr:uid="{F8C47242-AC2F-4C15-8F34-D8A2ECC5B151}">
      <text>
        <r>
          <rPr>
            <b/>
            <sz val="9"/>
            <color indexed="81"/>
            <rFont val="Tahoma"/>
            <family val="2"/>
          </rPr>
          <t>=IF($C31="","",IFERROR(CIQ($C31,"IQ_GP",N$28,vd,,,curr)*$L$3,""))</t>
        </r>
      </text>
    </comment>
    <comment ref="D32" authorId="0" shapeId="0" xr:uid="{8DCEFDD5-286B-4882-BF38-C6A9B695F5B0}">
      <text>
        <r>
          <rPr>
            <b/>
            <sz val="9"/>
            <color indexed="81"/>
            <rFont val="Tahoma"/>
            <family val="2"/>
          </rPr>
          <t>=IF($C32="","",IFERROR(CIQ($C32,"IQ_GP",D$28,vd,,,curr)*$L$3,""))</t>
        </r>
      </text>
    </comment>
    <comment ref="E32" authorId="0" shapeId="0" xr:uid="{6C37256C-535F-43D4-840C-CA52902BF237}">
      <text>
        <r>
          <rPr>
            <b/>
            <sz val="9"/>
            <color indexed="81"/>
            <rFont val="Tahoma"/>
            <family val="2"/>
          </rPr>
          <t>=IF($C32="","",IFERROR(CIQ($C32,"IQ_GP",E$28,vd,,,curr)*$L$3,""))</t>
        </r>
      </text>
    </comment>
    <comment ref="F32" authorId="0" shapeId="0" xr:uid="{83088E80-1AA4-4604-B802-0CCBE79FA83A}">
      <text>
        <r>
          <rPr>
            <b/>
            <sz val="9"/>
            <color indexed="81"/>
            <rFont val="Tahoma"/>
            <family val="2"/>
          </rPr>
          <t>=IF($C32="","",IFERROR(CIQ($C32,"IQ_GP",F$28,vd,,,curr)*$L$3,""))</t>
        </r>
      </text>
    </comment>
    <comment ref="G32" authorId="0" shapeId="0" xr:uid="{1E50228C-D9F1-464B-9DBB-536E2AB88927}">
      <text>
        <r>
          <rPr>
            <b/>
            <sz val="9"/>
            <color indexed="81"/>
            <rFont val="Tahoma"/>
            <family val="2"/>
          </rPr>
          <t>=IF($C32="","",IFERROR(CIQ($C32,"IQ_GP",G$28,vd,,,curr)*$L$3,""))</t>
        </r>
      </text>
    </comment>
    <comment ref="H32" authorId="0" shapeId="0" xr:uid="{89250EF4-F8F2-49DE-BA1D-178AC563DC0F}">
      <text>
        <r>
          <rPr>
            <b/>
            <sz val="9"/>
            <color indexed="81"/>
            <rFont val="Tahoma"/>
            <family val="2"/>
          </rPr>
          <t>=IF($C32="","",IFERROR(CIQ($C32,"IQ_GP",H$28,vd,,,curr)*$L$3,""))</t>
        </r>
      </text>
    </comment>
    <comment ref="I32" authorId="0" shapeId="0" xr:uid="{6856C7E3-D91A-475C-906A-ADDF0BDE93FA}">
      <text>
        <r>
          <rPr>
            <b/>
            <sz val="9"/>
            <color indexed="81"/>
            <rFont val="Tahoma"/>
            <family val="2"/>
          </rPr>
          <t>=IF($C32="","",IFERROR(CIQ($C32,"IQ_GP",I$28,vd,,,curr)*$L$3,""))</t>
        </r>
      </text>
    </comment>
    <comment ref="J32" authorId="0" shapeId="0" xr:uid="{54A8AE38-0ECC-41DC-92B8-A3A1F240374F}">
      <text>
        <r>
          <rPr>
            <b/>
            <sz val="9"/>
            <color indexed="81"/>
            <rFont val="Tahoma"/>
            <family val="2"/>
          </rPr>
          <t>=IF($C32="","",IFERROR(CIQ($C32,"IQ_GP",J$28,vd,,,curr)*$L$3,""))</t>
        </r>
      </text>
    </comment>
    <comment ref="K32" authorId="0" shapeId="0" xr:uid="{0F449436-0680-42AC-B362-B8287820F393}">
      <text>
        <r>
          <rPr>
            <b/>
            <sz val="9"/>
            <color indexed="81"/>
            <rFont val="Tahoma"/>
            <family val="2"/>
          </rPr>
          <t>=IF($C32="","",IFERROR(CIQ($C32,"IQ_GP",K$28,vd,,,curr)*$L$3,""))</t>
        </r>
      </text>
    </comment>
    <comment ref="L32" authorId="0" shapeId="0" xr:uid="{5B65AFD2-D25F-45C7-B77A-D8A204E47A1B}">
      <text>
        <r>
          <rPr>
            <b/>
            <sz val="9"/>
            <color indexed="81"/>
            <rFont val="Tahoma"/>
            <family val="2"/>
          </rPr>
          <t>=IF($C32="","",IFERROR(CIQ($C32,"IQ_GP",L$28,vd,,,curr)*$L$3,""))</t>
        </r>
      </text>
    </comment>
    <comment ref="M32" authorId="0" shapeId="0" xr:uid="{45FAD7C8-19CE-4287-A4B7-1A02102082C0}">
      <text>
        <r>
          <rPr>
            <b/>
            <sz val="9"/>
            <color indexed="81"/>
            <rFont val="Tahoma"/>
            <family val="2"/>
          </rPr>
          <t>=IF($C32="","",IFERROR(CIQ($C32,"IQ_GP",M$28,vd,,,curr)*$L$3,""))</t>
        </r>
      </text>
    </comment>
    <comment ref="N32" authorId="0" shapeId="0" xr:uid="{34891FAF-1B52-4D02-8ECB-C02652A6D6EB}">
      <text>
        <r>
          <rPr>
            <b/>
            <sz val="9"/>
            <color indexed="81"/>
            <rFont val="Tahoma"/>
            <family val="2"/>
          </rPr>
          <t>=IF($C32="","",IFERROR(CIQ($C32,"IQ_GP",N$28,vd,,,curr)*$L$3,""))</t>
        </r>
      </text>
    </comment>
    <comment ref="D33" authorId="0" shapeId="0" xr:uid="{19C603BE-51FD-42A1-B1C5-37BCF16FDEF4}">
      <text>
        <r>
          <rPr>
            <b/>
            <sz val="9"/>
            <color indexed="81"/>
            <rFont val="Tahoma"/>
            <family val="2"/>
          </rPr>
          <t>=IF($C33="","",IFERROR(CIQ($C33,"IQ_GP",D$28,vd,,,curr)*$L$3,""))</t>
        </r>
      </text>
    </comment>
    <comment ref="E33" authorId="0" shapeId="0" xr:uid="{CD02E8F4-D56D-4414-AE19-E364547147B1}">
      <text>
        <r>
          <rPr>
            <b/>
            <sz val="9"/>
            <color indexed="81"/>
            <rFont val="Tahoma"/>
            <family val="2"/>
          </rPr>
          <t>=IF($C33="","",IFERROR(CIQ($C33,"IQ_GP",E$28,vd,,,curr)*$L$3,""))</t>
        </r>
      </text>
    </comment>
    <comment ref="F33" authorId="0" shapeId="0" xr:uid="{B830945A-16BF-4058-8B88-31F80F66BF26}">
      <text>
        <r>
          <rPr>
            <b/>
            <sz val="9"/>
            <color indexed="81"/>
            <rFont val="Tahoma"/>
            <family val="2"/>
          </rPr>
          <t>=IF($C33="","",IFERROR(CIQ($C33,"IQ_GP",F$28,vd,,,curr)*$L$3,""))</t>
        </r>
      </text>
    </comment>
    <comment ref="G33" authorId="0" shapeId="0" xr:uid="{9CA2AAAE-6553-4C49-9F20-698FFAE9DEFF}">
      <text>
        <r>
          <rPr>
            <b/>
            <sz val="9"/>
            <color indexed="81"/>
            <rFont val="Tahoma"/>
            <family val="2"/>
          </rPr>
          <t>=IF($C33="","",IFERROR(CIQ($C33,"IQ_GP",G$28,vd,,,curr)*$L$3,""))</t>
        </r>
      </text>
    </comment>
    <comment ref="H33" authorId="0" shapeId="0" xr:uid="{4994921C-7D7D-4B93-830E-11C441F61D8F}">
      <text>
        <r>
          <rPr>
            <b/>
            <sz val="9"/>
            <color indexed="81"/>
            <rFont val="Tahoma"/>
            <family val="2"/>
          </rPr>
          <t>=IF($C33="","",IFERROR(CIQ($C33,"IQ_GP",H$28,vd,,,curr)*$L$3,""))</t>
        </r>
      </text>
    </comment>
    <comment ref="I33" authorId="0" shapeId="0" xr:uid="{BEC6EB64-E162-4B0A-8AC2-B4DD5E9066E2}">
      <text>
        <r>
          <rPr>
            <b/>
            <sz val="9"/>
            <color indexed="81"/>
            <rFont val="Tahoma"/>
            <family val="2"/>
          </rPr>
          <t>=IF($C33="","",IFERROR(CIQ($C33,"IQ_GP",I$28,vd,,,curr)*$L$3,""))</t>
        </r>
      </text>
    </comment>
    <comment ref="J33" authorId="0" shapeId="0" xr:uid="{A66C4262-09AF-41F6-8155-D09AB7B2028D}">
      <text>
        <r>
          <rPr>
            <b/>
            <sz val="9"/>
            <color indexed="81"/>
            <rFont val="Tahoma"/>
            <family val="2"/>
          </rPr>
          <t>=IF($C33="","",IFERROR(CIQ($C33,"IQ_GP",J$28,vd,,,curr)*$L$3,""))</t>
        </r>
      </text>
    </comment>
    <comment ref="K33" authorId="0" shapeId="0" xr:uid="{4A7D20EB-31F1-48C0-B3AF-720070DD9F98}">
      <text>
        <r>
          <rPr>
            <b/>
            <sz val="9"/>
            <color indexed="81"/>
            <rFont val="Tahoma"/>
            <family val="2"/>
          </rPr>
          <t>=IF($C33="","",IFERROR(CIQ($C33,"IQ_GP",K$28,vd,,,curr)*$L$3,""))</t>
        </r>
      </text>
    </comment>
    <comment ref="L33" authorId="0" shapeId="0" xr:uid="{1D094B30-B78A-44E0-88C4-B4314098FC89}">
      <text>
        <r>
          <rPr>
            <b/>
            <sz val="9"/>
            <color indexed="81"/>
            <rFont val="Tahoma"/>
            <family val="2"/>
          </rPr>
          <t>=IF($C33="","",IFERROR(CIQ($C33,"IQ_GP",L$28,vd,,,curr)*$L$3,""))</t>
        </r>
      </text>
    </comment>
    <comment ref="M33" authorId="0" shapeId="0" xr:uid="{55963EA4-B4CD-4EF9-B637-855C2EA8D6E1}">
      <text>
        <r>
          <rPr>
            <b/>
            <sz val="9"/>
            <color indexed="81"/>
            <rFont val="Tahoma"/>
            <family val="2"/>
          </rPr>
          <t>=IF($C33="","",IFERROR(CIQ($C33,"IQ_GP",M$28,vd,,,curr)*$L$3,""))</t>
        </r>
      </text>
    </comment>
    <comment ref="N33" authorId="0" shapeId="0" xr:uid="{5132EF73-9FCC-4ACA-88AA-30A738D9B34B}">
      <text>
        <r>
          <rPr>
            <b/>
            <sz val="9"/>
            <color indexed="81"/>
            <rFont val="Tahoma"/>
            <family val="2"/>
          </rPr>
          <t>=IF($C33="","",IFERROR(CIQ($C33,"IQ_GP",N$28,vd,,,curr)*$L$3,""))</t>
        </r>
      </text>
    </comment>
    <comment ref="D34" authorId="0" shapeId="0" xr:uid="{93968EDA-6043-47A2-A7A0-5331BB9C9E86}">
      <text>
        <r>
          <rPr>
            <b/>
            <sz val="9"/>
            <color indexed="81"/>
            <rFont val="Tahoma"/>
            <family val="2"/>
          </rPr>
          <t>=IF($C34="","",IFERROR(CIQ($C34,"IQ_GP",D$28,vd,,,curr)*$L$3,""))</t>
        </r>
      </text>
    </comment>
    <comment ref="E34" authorId="0" shapeId="0" xr:uid="{2C4383BB-DF1F-409F-A987-459C8D312D0C}">
      <text>
        <r>
          <rPr>
            <b/>
            <sz val="9"/>
            <color indexed="81"/>
            <rFont val="Tahoma"/>
            <family val="2"/>
          </rPr>
          <t>=IF($C34="","",IFERROR(CIQ($C34,"IQ_GP",E$28,vd,,,curr)*$L$3,""))</t>
        </r>
      </text>
    </comment>
    <comment ref="F34" authorId="0" shapeId="0" xr:uid="{C5E5E49F-A24C-419B-AB08-A1ECE53D245B}">
      <text>
        <r>
          <rPr>
            <b/>
            <sz val="9"/>
            <color indexed="81"/>
            <rFont val="Tahoma"/>
            <family val="2"/>
          </rPr>
          <t>=IF($C34="","",IFERROR(CIQ($C34,"IQ_GP",F$28,vd,,,curr)*$L$3,""))</t>
        </r>
      </text>
    </comment>
    <comment ref="G34" authorId="0" shapeId="0" xr:uid="{E87DB8F2-4E7E-49D5-B209-FBC527E286BE}">
      <text>
        <r>
          <rPr>
            <b/>
            <sz val="9"/>
            <color indexed="81"/>
            <rFont val="Tahoma"/>
            <family val="2"/>
          </rPr>
          <t>=IF($C34="","",IFERROR(CIQ($C34,"IQ_GP",G$28,vd,,,curr)*$L$3,""))</t>
        </r>
      </text>
    </comment>
    <comment ref="H34" authorId="0" shapeId="0" xr:uid="{8463D19E-D10A-4D73-A805-722B7FA58734}">
      <text>
        <r>
          <rPr>
            <b/>
            <sz val="9"/>
            <color indexed="81"/>
            <rFont val="Tahoma"/>
            <family val="2"/>
          </rPr>
          <t>=IF($C34="","",IFERROR(CIQ($C34,"IQ_GP",H$28,vd,,,curr)*$L$3,""))</t>
        </r>
      </text>
    </comment>
    <comment ref="I34" authorId="0" shapeId="0" xr:uid="{2116BEB7-A78C-4278-B412-7BCF510C613B}">
      <text>
        <r>
          <rPr>
            <b/>
            <sz val="9"/>
            <color indexed="81"/>
            <rFont val="Tahoma"/>
            <family val="2"/>
          </rPr>
          <t>=IF($C34="","",IFERROR(CIQ($C34,"IQ_GP",I$28,vd,,,curr)*$L$3,""))</t>
        </r>
      </text>
    </comment>
    <comment ref="J34" authorId="0" shapeId="0" xr:uid="{AB636462-8CFE-465C-925E-30D75E3410E4}">
      <text>
        <r>
          <rPr>
            <b/>
            <sz val="9"/>
            <color indexed="81"/>
            <rFont val="Tahoma"/>
            <family val="2"/>
          </rPr>
          <t>=IF($C34="","",IFERROR(CIQ($C34,"IQ_GP",J$28,vd,,,curr)*$L$3,""))</t>
        </r>
      </text>
    </comment>
    <comment ref="K34" authorId="0" shapeId="0" xr:uid="{49A9945D-8244-45C7-9425-9A79C88722F4}">
      <text>
        <r>
          <rPr>
            <b/>
            <sz val="9"/>
            <color indexed="81"/>
            <rFont val="Tahoma"/>
            <family val="2"/>
          </rPr>
          <t>=IF($C34="","",IFERROR(CIQ($C34,"IQ_GP",K$28,vd,,,curr)*$L$3,""))</t>
        </r>
      </text>
    </comment>
    <comment ref="L34" authorId="0" shapeId="0" xr:uid="{80692328-308D-4DCD-BFD5-5F47DE9D63CA}">
      <text>
        <r>
          <rPr>
            <b/>
            <sz val="9"/>
            <color indexed="81"/>
            <rFont val="Tahoma"/>
            <family val="2"/>
          </rPr>
          <t>=IF($C34="","",IFERROR(CIQ($C34,"IQ_GP",L$28,vd,,,curr)*$L$3,""))</t>
        </r>
      </text>
    </comment>
    <comment ref="M34" authorId="0" shapeId="0" xr:uid="{3F4CCFF3-094A-44B2-BD55-E8AE9FC5D6B6}">
      <text>
        <r>
          <rPr>
            <b/>
            <sz val="9"/>
            <color indexed="81"/>
            <rFont val="Tahoma"/>
            <family val="2"/>
          </rPr>
          <t>=IF($C34="","",IFERROR(CIQ($C34,"IQ_GP",M$28,vd,,,curr)*$L$3,""))</t>
        </r>
      </text>
    </comment>
    <comment ref="N34" authorId="0" shapeId="0" xr:uid="{DF632A4F-E91A-49E8-99C7-07DC2CDDFA96}">
      <text>
        <r>
          <rPr>
            <b/>
            <sz val="9"/>
            <color indexed="81"/>
            <rFont val="Tahoma"/>
            <family val="2"/>
          </rPr>
          <t>=IF($C34="","",IFERROR(CIQ($C34,"IQ_GP",N$28,vd,,,curr)*$L$3,""))</t>
        </r>
      </text>
    </comment>
    <comment ref="D35" authorId="0" shapeId="0" xr:uid="{5DAB02B2-EB67-438A-91AD-DF716DFD8A24}">
      <text>
        <r>
          <rPr>
            <b/>
            <sz val="9"/>
            <color indexed="81"/>
            <rFont val="Tahoma"/>
            <family val="2"/>
          </rPr>
          <t>=IF($C35="","",IFERROR(CIQ($C35,"IQ_GP",D$28,vd,,,curr)*$L$3,""))</t>
        </r>
      </text>
    </comment>
    <comment ref="E35" authorId="0" shapeId="0" xr:uid="{0FA3AD33-BD75-4359-B0FF-AC1B7FCED198}">
      <text>
        <r>
          <rPr>
            <b/>
            <sz val="9"/>
            <color indexed="81"/>
            <rFont val="Tahoma"/>
            <family val="2"/>
          </rPr>
          <t>=IF($C35="","",IFERROR(CIQ($C35,"IQ_GP",E$28,vd,,,curr)*$L$3,""))</t>
        </r>
      </text>
    </comment>
    <comment ref="F35" authorId="0" shapeId="0" xr:uid="{04549BF6-2E0C-4A75-90A0-16539DE610C8}">
      <text>
        <r>
          <rPr>
            <b/>
            <sz val="9"/>
            <color indexed="81"/>
            <rFont val="Tahoma"/>
            <family val="2"/>
          </rPr>
          <t>=IF($C35="","",IFERROR(CIQ($C35,"IQ_GP",F$28,vd,,,curr)*$L$3,""))</t>
        </r>
      </text>
    </comment>
    <comment ref="G35" authorId="0" shapeId="0" xr:uid="{ADF5089C-E1FA-4A72-AB9D-AEAB2AEBBEF1}">
      <text>
        <r>
          <rPr>
            <b/>
            <sz val="9"/>
            <color indexed="81"/>
            <rFont val="Tahoma"/>
            <family val="2"/>
          </rPr>
          <t>=IF($C35="","",IFERROR(CIQ($C35,"IQ_GP",G$28,vd,,,curr)*$L$3,""))</t>
        </r>
      </text>
    </comment>
    <comment ref="H35" authorId="0" shapeId="0" xr:uid="{58E30077-3DB9-4C58-8FDB-6C302C3F0BB7}">
      <text>
        <r>
          <rPr>
            <b/>
            <sz val="9"/>
            <color indexed="81"/>
            <rFont val="Tahoma"/>
            <family val="2"/>
          </rPr>
          <t>=IF($C35="","",IFERROR(CIQ($C35,"IQ_GP",H$28,vd,,,curr)*$L$3,""))</t>
        </r>
      </text>
    </comment>
    <comment ref="I35" authorId="0" shapeId="0" xr:uid="{145DBB08-C74C-415C-A7FC-62348F83CB3A}">
      <text>
        <r>
          <rPr>
            <b/>
            <sz val="9"/>
            <color indexed="81"/>
            <rFont val="Tahoma"/>
            <family val="2"/>
          </rPr>
          <t>=IF($C35="","",IFERROR(CIQ($C35,"IQ_GP",I$28,vd,,,curr)*$L$3,""))</t>
        </r>
      </text>
    </comment>
    <comment ref="J35" authorId="0" shapeId="0" xr:uid="{D7DC1C4F-E0C7-4F11-893D-E092771E642C}">
      <text>
        <r>
          <rPr>
            <b/>
            <sz val="9"/>
            <color indexed="81"/>
            <rFont val="Tahoma"/>
            <family val="2"/>
          </rPr>
          <t>=IF($C35="","",IFERROR(CIQ($C35,"IQ_GP",J$28,vd,,,curr)*$L$3,""))</t>
        </r>
      </text>
    </comment>
    <comment ref="K35" authorId="0" shapeId="0" xr:uid="{138FE498-5ABD-4FDD-96A4-1FAA16A2A2B4}">
      <text>
        <r>
          <rPr>
            <b/>
            <sz val="9"/>
            <color indexed="81"/>
            <rFont val="Tahoma"/>
            <family val="2"/>
          </rPr>
          <t>=IF($C35="","",IFERROR(CIQ($C35,"IQ_GP",K$28,vd,,,curr)*$L$3,""))</t>
        </r>
      </text>
    </comment>
    <comment ref="L35" authorId="0" shapeId="0" xr:uid="{B9B75FC5-BEBE-4287-9383-9E87B80DDF2F}">
      <text>
        <r>
          <rPr>
            <b/>
            <sz val="9"/>
            <color indexed="81"/>
            <rFont val="Tahoma"/>
            <family val="2"/>
          </rPr>
          <t>=IF($C35="","",IFERROR(CIQ($C35,"IQ_GP",L$28,vd,,,curr)*$L$3,""))</t>
        </r>
      </text>
    </comment>
    <comment ref="M35" authorId="0" shapeId="0" xr:uid="{2D469E58-E40A-4ACF-A984-090E0BACE586}">
      <text>
        <r>
          <rPr>
            <b/>
            <sz val="9"/>
            <color indexed="81"/>
            <rFont val="Tahoma"/>
            <family val="2"/>
          </rPr>
          <t>=IF($C35="","",IFERROR(CIQ($C35,"IQ_GP",M$28,vd,,,curr)*$L$3,""))</t>
        </r>
      </text>
    </comment>
    <comment ref="N35" authorId="0" shapeId="0" xr:uid="{CDD78F95-0C0D-4D5B-AA2C-28D80668D8B2}">
      <text>
        <r>
          <rPr>
            <b/>
            <sz val="9"/>
            <color indexed="81"/>
            <rFont val="Tahoma"/>
            <family val="2"/>
          </rPr>
          <t>=IF($C35="","",IFERROR(CIQ($C35,"IQ_GP",N$28,vd,,,curr)*$L$3,""))</t>
        </r>
      </text>
    </comment>
    <comment ref="D36" authorId="0" shapeId="0" xr:uid="{6D87942A-DCCD-417D-A92D-339042363125}">
      <text>
        <r>
          <rPr>
            <b/>
            <sz val="9"/>
            <color indexed="81"/>
            <rFont val="Tahoma"/>
            <family val="2"/>
          </rPr>
          <t>=IF($C36="","",IFERROR(CIQ($C36,"IQ_GP",D$28,vd,,,curr)*$L$3,""))</t>
        </r>
      </text>
    </comment>
    <comment ref="E36" authorId="0" shapeId="0" xr:uid="{101DB642-835E-40F1-8ACB-0CEA399A88FE}">
      <text>
        <r>
          <rPr>
            <b/>
            <sz val="9"/>
            <color indexed="81"/>
            <rFont val="Tahoma"/>
            <family val="2"/>
          </rPr>
          <t>=IF($C36="","",IFERROR(CIQ($C36,"IQ_GP",E$28,vd,,,curr)*$L$3,""))</t>
        </r>
      </text>
    </comment>
    <comment ref="F36" authorId="0" shapeId="0" xr:uid="{23ABCF86-3703-4C05-BD7F-9F0FBC05C993}">
      <text>
        <r>
          <rPr>
            <b/>
            <sz val="9"/>
            <color indexed="81"/>
            <rFont val="Tahoma"/>
            <family val="2"/>
          </rPr>
          <t>=IF($C36="","",IFERROR(CIQ($C36,"IQ_GP",F$28,vd,,,curr)*$L$3,""))</t>
        </r>
      </text>
    </comment>
    <comment ref="G36" authorId="0" shapeId="0" xr:uid="{E9D23C70-1B57-457E-BD0C-60CDE0C75395}">
      <text>
        <r>
          <rPr>
            <b/>
            <sz val="9"/>
            <color indexed="81"/>
            <rFont val="Tahoma"/>
            <family val="2"/>
          </rPr>
          <t>=IF($C36="","",IFERROR(CIQ($C36,"IQ_GP",G$28,vd,,,curr)*$L$3,""))</t>
        </r>
      </text>
    </comment>
    <comment ref="H36" authorId="0" shapeId="0" xr:uid="{41AEEFA4-7226-43EB-9288-EDB59D5B88E9}">
      <text>
        <r>
          <rPr>
            <b/>
            <sz val="9"/>
            <color indexed="81"/>
            <rFont val="Tahoma"/>
            <family val="2"/>
          </rPr>
          <t>=IF($C36="","",IFERROR(CIQ($C36,"IQ_GP",H$28,vd,,,curr)*$L$3,""))</t>
        </r>
      </text>
    </comment>
    <comment ref="I36" authorId="0" shapeId="0" xr:uid="{46208B98-27E3-45EA-86B3-F79AD225FFA9}">
      <text>
        <r>
          <rPr>
            <b/>
            <sz val="9"/>
            <color indexed="81"/>
            <rFont val="Tahoma"/>
            <family val="2"/>
          </rPr>
          <t>=IF($C36="","",IFERROR(CIQ($C36,"IQ_GP",I$28,vd,,,curr)*$L$3,""))</t>
        </r>
      </text>
    </comment>
    <comment ref="J36" authorId="0" shapeId="0" xr:uid="{FF426BF8-8AE1-4728-B9CC-B8B2E665446C}">
      <text>
        <r>
          <rPr>
            <b/>
            <sz val="9"/>
            <color indexed="81"/>
            <rFont val="Tahoma"/>
            <family val="2"/>
          </rPr>
          <t>=IF($C36="","",IFERROR(CIQ($C36,"IQ_GP",J$28,vd,,,curr)*$L$3,""))</t>
        </r>
      </text>
    </comment>
    <comment ref="K36" authorId="0" shapeId="0" xr:uid="{C34C39CD-D08A-45C7-9A16-A4A2A474BB45}">
      <text>
        <r>
          <rPr>
            <b/>
            <sz val="9"/>
            <color indexed="81"/>
            <rFont val="Tahoma"/>
            <family val="2"/>
          </rPr>
          <t>=IF($C36="","",IFERROR(CIQ($C36,"IQ_GP",K$28,vd,,,curr)*$L$3,""))</t>
        </r>
      </text>
    </comment>
    <comment ref="L36" authorId="0" shapeId="0" xr:uid="{9865C492-0A18-406A-89A5-8A7BB85EC67D}">
      <text>
        <r>
          <rPr>
            <b/>
            <sz val="9"/>
            <color indexed="81"/>
            <rFont val="Tahoma"/>
            <family val="2"/>
          </rPr>
          <t>=IF($C36="","",IFERROR(CIQ($C36,"IQ_GP",L$28,vd,,,curr)*$L$3,""))</t>
        </r>
      </text>
    </comment>
    <comment ref="M36" authorId="0" shapeId="0" xr:uid="{8484F12E-7236-4165-9C7A-6F930B6FDCE5}">
      <text>
        <r>
          <rPr>
            <b/>
            <sz val="9"/>
            <color indexed="81"/>
            <rFont val="Tahoma"/>
            <family val="2"/>
          </rPr>
          <t>=IF($C36="","",IFERROR(CIQ($C36,"IQ_GP",M$28,vd,,,curr)*$L$3,""))</t>
        </r>
      </text>
    </comment>
    <comment ref="N36" authorId="0" shapeId="0" xr:uid="{17291A1A-86DA-465E-B3CE-B69912B8F618}">
      <text>
        <r>
          <rPr>
            <b/>
            <sz val="9"/>
            <color indexed="81"/>
            <rFont val="Tahoma"/>
            <family val="2"/>
          </rPr>
          <t>=IF($C36="","",IFERROR(CIQ($C36,"IQ_GP",N$28,vd,,,curr)*$L$3,""))</t>
        </r>
      </text>
    </comment>
    <comment ref="D37" authorId="0" shapeId="0" xr:uid="{6A2CF0B2-1EBF-4D51-AA64-3AA771CE5B15}">
      <text>
        <r>
          <rPr>
            <b/>
            <sz val="9"/>
            <color indexed="81"/>
            <rFont val="Tahoma"/>
            <family val="2"/>
          </rPr>
          <t>=IF($C37="","",IFERROR(CIQ($C37,"IQ_GP",D$28,vd,,,curr)*$L$3,""))</t>
        </r>
      </text>
    </comment>
    <comment ref="E37" authorId="0" shapeId="0" xr:uid="{93759D15-29E9-4047-B72A-D0EEC2EE7663}">
      <text>
        <r>
          <rPr>
            <b/>
            <sz val="9"/>
            <color indexed="81"/>
            <rFont val="Tahoma"/>
            <family val="2"/>
          </rPr>
          <t>=IF($C37="","",IFERROR(CIQ($C37,"IQ_GP",E$28,vd,,,curr)*$L$3,""))</t>
        </r>
      </text>
    </comment>
    <comment ref="F37" authorId="0" shapeId="0" xr:uid="{A4476F1E-02D9-47B1-AA6E-068CE14D8A1D}">
      <text>
        <r>
          <rPr>
            <b/>
            <sz val="9"/>
            <color indexed="81"/>
            <rFont val="Tahoma"/>
            <family val="2"/>
          </rPr>
          <t>=IF($C37="","",IFERROR(CIQ($C37,"IQ_GP",F$28,vd,,,curr)*$L$3,""))</t>
        </r>
      </text>
    </comment>
    <comment ref="G37" authorId="0" shapeId="0" xr:uid="{50A20ADB-91A3-4984-A4B3-839B335A39F2}">
      <text>
        <r>
          <rPr>
            <b/>
            <sz val="9"/>
            <color indexed="81"/>
            <rFont val="Tahoma"/>
            <family val="2"/>
          </rPr>
          <t>=IF($C37="","",IFERROR(CIQ($C37,"IQ_GP",G$28,vd,,,curr)*$L$3,""))</t>
        </r>
      </text>
    </comment>
    <comment ref="H37" authorId="0" shapeId="0" xr:uid="{B75A7DE0-553A-4DE6-B926-30C40D9D1BC2}">
      <text>
        <r>
          <rPr>
            <b/>
            <sz val="9"/>
            <color indexed="81"/>
            <rFont val="Tahoma"/>
            <family val="2"/>
          </rPr>
          <t>=IF($C37="","",IFERROR(CIQ($C37,"IQ_GP",H$28,vd,,,curr)*$L$3,""))</t>
        </r>
      </text>
    </comment>
    <comment ref="I37" authorId="0" shapeId="0" xr:uid="{01663E2E-392F-41CA-95E1-F7C665EF7633}">
      <text>
        <r>
          <rPr>
            <b/>
            <sz val="9"/>
            <color indexed="81"/>
            <rFont val="Tahoma"/>
            <family val="2"/>
          </rPr>
          <t>=IF($C37="","",IFERROR(CIQ($C37,"IQ_GP",I$28,vd,,,curr)*$L$3,""))</t>
        </r>
      </text>
    </comment>
    <comment ref="J37" authorId="0" shapeId="0" xr:uid="{E3C6C1F5-4B0E-4F9F-8397-8B7067D3100B}">
      <text>
        <r>
          <rPr>
            <b/>
            <sz val="9"/>
            <color indexed="81"/>
            <rFont val="Tahoma"/>
            <family val="2"/>
          </rPr>
          <t>=IF($C37="","",IFERROR(CIQ($C37,"IQ_GP",J$28,vd,,,curr)*$L$3,""))</t>
        </r>
      </text>
    </comment>
    <comment ref="K37" authorId="0" shapeId="0" xr:uid="{CDA577C4-CB53-46CA-9E09-EDFFE38CD091}">
      <text>
        <r>
          <rPr>
            <b/>
            <sz val="9"/>
            <color indexed="81"/>
            <rFont val="Tahoma"/>
            <family val="2"/>
          </rPr>
          <t>=IF($C37="","",IFERROR(CIQ($C37,"IQ_GP",K$28,vd,,,curr)*$L$3,""))</t>
        </r>
      </text>
    </comment>
    <comment ref="L37" authorId="0" shapeId="0" xr:uid="{41C848C1-EAAE-426F-9B16-882374A3C4F8}">
      <text>
        <r>
          <rPr>
            <b/>
            <sz val="9"/>
            <color indexed="81"/>
            <rFont val="Tahoma"/>
            <family val="2"/>
          </rPr>
          <t>=IF($C37="","",IFERROR(CIQ($C37,"IQ_GP",L$28,vd,,,curr)*$L$3,""))</t>
        </r>
      </text>
    </comment>
    <comment ref="M37" authorId="0" shapeId="0" xr:uid="{A2FA483B-37BE-498B-9E30-ECA357F2FB4A}">
      <text>
        <r>
          <rPr>
            <b/>
            <sz val="9"/>
            <color indexed="81"/>
            <rFont val="Tahoma"/>
            <family val="2"/>
          </rPr>
          <t>=IF($C37="","",IFERROR(CIQ($C37,"IQ_GP",M$28,vd,,,curr)*$L$3,""))</t>
        </r>
      </text>
    </comment>
    <comment ref="N37" authorId="0" shapeId="0" xr:uid="{DB28564C-ED7B-455F-9153-9B36745C6254}">
      <text>
        <r>
          <rPr>
            <b/>
            <sz val="9"/>
            <color indexed="81"/>
            <rFont val="Tahoma"/>
            <family val="2"/>
          </rPr>
          <t>=IF($C37="","",IFERROR(CIQ($C37,"IQ_GP",N$28,vd,,,curr)*$L$3,""))</t>
        </r>
      </text>
    </comment>
    <comment ref="D38" authorId="0" shapeId="0" xr:uid="{3570923D-8F1F-4FEC-B1DC-1281642ED591}">
      <text>
        <r>
          <rPr>
            <b/>
            <sz val="9"/>
            <color indexed="81"/>
            <rFont val="Tahoma"/>
            <family val="2"/>
          </rPr>
          <t>=IF($C38="","",IFERROR(CIQ($C38,"IQ_GP",D$28,vd,,,curr)*$L$3,""))</t>
        </r>
      </text>
    </comment>
    <comment ref="E38" authorId="0" shapeId="0" xr:uid="{A1A8C49F-27CA-4BD3-9C16-0667EEAC90D4}">
      <text>
        <r>
          <rPr>
            <b/>
            <sz val="9"/>
            <color indexed="81"/>
            <rFont val="Tahoma"/>
            <family val="2"/>
          </rPr>
          <t>=IF($C38="","",IFERROR(CIQ($C38,"IQ_GP",E$28,vd,,,curr)*$L$3,""))</t>
        </r>
      </text>
    </comment>
    <comment ref="F38" authorId="0" shapeId="0" xr:uid="{897EA732-CF80-4737-AD8B-1B5E64FFD4E8}">
      <text>
        <r>
          <rPr>
            <b/>
            <sz val="9"/>
            <color indexed="81"/>
            <rFont val="Tahoma"/>
            <family val="2"/>
          </rPr>
          <t>=IF($C38="","",IFERROR(CIQ($C38,"IQ_GP",F$28,vd,,,curr)*$L$3,""))</t>
        </r>
      </text>
    </comment>
    <comment ref="G38" authorId="0" shapeId="0" xr:uid="{2C78621A-1335-44B8-8E60-B5E19644728C}">
      <text>
        <r>
          <rPr>
            <b/>
            <sz val="9"/>
            <color indexed="81"/>
            <rFont val="Tahoma"/>
            <family val="2"/>
          </rPr>
          <t>=IF($C38="","",IFERROR(CIQ($C38,"IQ_GP",G$28,vd,,,curr)*$L$3,""))</t>
        </r>
      </text>
    </comment>
    <comment ref="H38" authorId="0" shapeId="0" xr:uid="{AF7D67D0-DC3E-4E66-9B1B-3875EA6CC0F7}">
      <text>
        <r>
          <rPr>
            <b/>
            <sz val="9"/>
            <color indexed="81"/>
            <rFont val="Tahoma"/>
            <family val="2"/>
          </rPr>
          <t>=IF($C38="","",IFERROR(CIQ($C38,"IQ_GP",H$28,vd,,,curr)*$L$3,""))</t>
        </r>
      </text>
    </comment>
    <comment ref="I38" authorId="0" shapeId="0" xr:uid="{0FF9706F-D11E-487C-83C9-E642E2424638}">
      <text>
        <r>
          <rPr>
            <b/>
            <sz val="9"/>
            <color indexed="81"/>
            <rFont val="Tahoma"/>
            <family val="2"/>
          </rPr>
          <t>=IF($C38="","",IFERROR(CIQ($C38,"IQ_GP",I$28,vd,,,curr)*$L$3,""))</t>
        </r>
      </text>
    </comment>
    <comment ref="J38" authorId="0" shapeId="0" xr:uid="{CEA9E81C-BE83-4F0A-AA50-C69EF1766E9D}">
      <text>
        <r>
          <rPr>
            <b/>
            <sz val="9"/>
            <color indexed="81"/>
            <rFont val="Tahoma"/>
            <family val="2"/>
          </rPr>
          <t>=IF($C38="","",IFERROR(CIQ($C38,"IQ_GP",J$28,vd,,,curr)*$L$3,""))</t>
        </r>
      </text>
    </comment>
    <comment ref="K38" authorId="0" shapeId="0" xr:uid="{DF61BCED-1EBD-4874-8F86-DF8ED5A0AE42}">
      <text>
        <r>
          <rPr>
            <b/>
            <sz val="9"/>
            <color indexed="81"/>
            <rFont val="Tahoma"/>
            <family val="2"/>
          </rPr>
          <t>=IF($C38="","",IFERROR(CIQ($C38,"IQ_GP",K$28,vd,,,curr)*$L$3,""))</t>
        </r>
      </text>
    </comment>
    <comment ref="L38" authorId="0" shapeId="0" xr:uid="{3012D684-A820-4BAC-9FE4-F94537457E26}">
      <text>
        <r>
          <rPr>
            <b/>
            <sz val="9"/>
            <color indexed="81"/>
            <rFont val="Tahoma"/>
            <family val="2"/>
          </rPr>
          <t>=IF($C38="","",IFERROR(CIQ($C38,"IQ_GP",L$28,vd,,,curr)*$L$3,""))</t>
        </r>
      </text>
    </comment>
    <comment ref="M38" authorId="0" shapeId="0" xr:uid="{6EE31D93-963D-42C9-A325-C948575C19B4}">
      <text>
        <r>
          <rPr>
            <b/>
            <sz val="9"/>
            <color indexed="81"/>
            <rFont val="Tahoma"/>
            <family val="2"/>
          </rPr>
          <t>=IF($C38="","",IFERROR(CIQ($C38,"IQ_GP",M$28,vd,,,curr)*$L$3,""))</t>
        </r>
      </text>
    </comment>
    <comment ref="N38" authorId="0" shapeId="0" xr:uid="{826DDFE2-14C6-4C16-BBCF-132EFF20185E}">
      <text>
        <r>
          <rPr>
            <b/>
            <sz val="9"/>
            <color indexed="81"/>
            <rFont val="Tahoma"/>
            <family val="2"/>
          </rPr>
          <t>=IF($C38="","",IFERROR(CIQ($C38,"IQ_GP",N$28,vd,,,curr)*$L$3,""))</t>
        </r>
      </text>
    </comment>
    <comment ref="D39" authorId="0" shapeId="0" xr:uid="{4B694A3E-AC13-46AF-B75A-5AA1DA1F285A}">
      <text>
        <r>
          <rPr>
            <b/>
            <sz val="9"/>
            <color indexed="81"/>
            <rFont val="Tahoma"/>
            <family val="2"/>
          </rPr>
          <t>=IF($C39="","",IFERROR(CIQ($C39,"IQ_GP",D$28,vd,,,curr)*$L$3,""))</t>
        </r>
      </text>
    </comment>
    <comment ref="E39" authorId="0" shapeId="0" xr:uid="{9358EE8B-5DE4-4A43-B74C-933A30D40FA6}">
      <text>
        <r>
          <rPr>
            <b/>
            <sz val="9"/>
            <color indexed="81"/>
            <rFont val="Tahoma"/>
            <family val="2"/>
          </rPr>
          <t>=IF($C39="","",IFERROR(CIQ($C39,"IQ_GP",E$28,vd,,,curr)*$L$3,""))</t>
        </r>
      </text>
    </comment>
    <comment ref="F39" authorId="0" shapeId="0" xr:uid="{002884E8-A55F-4601-9088-F82378079358}">
      <text>
        <r>
          <rPr>
            <b/>
            <sz val="9"/>
            <color indexed="81"/>
            <rFont val="Tahoma"/>
            <family val="2"/>
          </rPr>
          <t>=IF($C39="","",IFERROR(CIQ($C39,"IQ_GP",F$28,vd,,,curr)*$L$3,""))</t>
        </r>
      </text>
    </comment>
    <comment ref="G39" authorId="0" shapeId="0" xr:uid="{1B11DA62-0B9C-4CAC-9AF3-AF1D848C927A}">
      <text>
        <r>
          <rPr>
            <b/>
            <sz val="9"/>
            <color indexed="81"/>
            <rFont val="Tahoma"/>
            <family val="2"/>
          </rPr>
          <t>=IF($C39="","",IFERROR(CIQ($C39,"IQ_GP",G$28,vd,,,curr)*$L$3,""))</t>
        </r>
      </text>
    </comment>
    <comment ref="H39" authorId="0" shapeId="0" xr:uid="{1A9A2062-3E58-4346-A66A-CCEF2E090AC4}">
      <text>
        <r>
          <rPr>
            <b/>
            <sz val="9"/>
            <color indexed="81"/>
            <rFont val="Tahoma"/>
            <family val="2"/>
          </rPr>
          <t>=IF($C39="","",IFERROR(CIQ($C39,"IQ_GP",H$28,vd,,,curr)*$L$3,""))</t>
        </r>
      </text>
    </comment>
    <comment ref="I39" authorId="0" shapeId="0" xr:uid="{EA3E909D-A93F-4067-BB09-993234CBC18D}">
      <text>
        <r>
          <rPr>
            <b/>
            <sz val="9"/>
            <color indexed="81"/>
            <rFont val="Tahoma"/>
            <family val="2"/>
          </rPr>
          <t>=IF($C39="","",IFERROR(CIQ($C39,"IQ_GP",I$28,vd,,,curr)*$L$3,""))</t>
        </r>
      </text>
    </comment>
    <comment ref="J39" authorId="0" shapeId="0" xr:uid="{EAB5C406-D5D3-422B-B8D6-C5F16633712E}">
      <text>
        <r>
          <rPr>
            <b/>
            <sz val="9"/>
            <color indexed="81"/>
            <rFont val="Tahoma"/>
            <family val="2"/>
          </rPr>
          <t>=IF($C39="","",IFERROR(CIQ($C39,"IQ_GP",J$28,vd,,,curr)*$L$3,""))</t>
        </r>
      </text>
    </comment>
    <comment ref="K39" authorId="0" shapeId="0" xr:uid="{8FFFA594-453D-4801-99F2-4A8C8F68C81D}">
      <text>
        <r>
          <rPr>
            <b/>
            <sz val="9"/>
            <color indexed="81"/>
            <rFont val="Tahoma"/>
            <family val="2"/>
          </rPr>
          <t>=IF($C39="","",IFERROR(CIQ($C39,"IQ_GP",K$28,vd,,,curr)*$L$3,""))</t>
        </r>
      </text>
    </comment>
    <comment ref="L39" authorId="0" shapeId="0" xr:uid="{7718F81F-65F5-4D60-ACC0-3B76228B93F1}">
      <text>
        <r>
          <rPr>
            <b/>
            <sz val="9"/>
            <color indexed="81"/>
            <rFont val="Tahoma"/>
            <family val="2"/>
          </rPr>
          <t>=IF($C39="","",IFERROR(CIQ($C39,"IQ_GP",L$28,vd,,,curr)*$L$3,""))</t>
        </r>
      </text>
    </comment>
    <comment ref="M39" authorId="0" shapeId="0" xr:uid="{82738699-05A1-4E73-98C4-E222C4334DA7}">
      <text>
        <r>
          <rPr>
            <b/>
            <sz val="9"/>
            <color indexed="81"/>
            <rFont val="Tahoma"/>
            <family val="2"/>
          </rPr>
          <t>=IF($C39="","",IFERROR(CIQ($C39,"IQ_GP",M$28,vd,,,curr)*$L$3,""))</t>
        </r>
      </text>
    </comment>
    <comment ref="N39" authorId="0" shapeId="0" xr:uid="{AACDFDDF-8B45-4ED0-9B79-75CAF3008802}">
      <text>
        <r>
          <rPr>
            <b/>
            <sz val="9"/>
            <color indexed="81"/>
            <rFont val="Tahoma"/>
            <family val="2"/>
          </rPr>
          <t>=IF($C39="","",IFERROR(CIQ($C39,"IQ_GP",N$28,vd,,,curr)*$L$3,""))</t>
        </r>
      </text>
    </comment>
    <comment ref="D40" authorId="0" shapeId="0" xr:uid="{CA48DF42-514A-4F54-A730-84AF3983B813}">
      <text>
        <r>
          <rPr>
            <b/>
            <sz val="9"/>
            <color indexed="81"/>
            <rFont val="Tahoma"/>
            <family val="2"/>
          </rPr>
          <t>=IF($C40="","",IFERROR(CIQ($C40,"IQ_GP",D$28,vd,,,curr)*$L$3,""))</t>
        </r>
      </text>
    </comment>
    <comment ref="E40" authorId="0" shapeId="0" xr:uid="{6036AF57-5ADD-4CA4-BC86-A8C72E7ADE3A}">
      <text>
        <r>
          <rPr>
            <b/>
            <sz val="9"/>
            <color indexed="81"/>
            <rFont val="Tahoma"/>
            <family val="2"/>
          </rPr>
          <t>=IF($C40="","",IFERROR(CIQ($C40,"IQ_GP",E$28,vd,,,curr)*$L$3,""))</t>
        </r>
      </text>
    </comment>
    <comment ref="F40" authorId="0" shapeId="0" xr:uid="{733B2B94-9081-44AB-8EC8-4EBDC4E83660}">
      <text>
        <r>
          <rPr>
            <b/>
            <sz val="9"/>
            <color indexed="81"/>
            <rFont val="Tahoma"/>
            <family val="2"/>
          </rPr>
          <t>=IF($C40="","",IFERROR(CIQ($C40,"IQ_GP",F$28,vd,,,curr)*$L$3,""))</t>
        </r>
      </text>
    </comment>
    <comment ref="G40" authorId="0" shapeId="0" xr:uid="{3EBACC93-7437-4FD6-9E33-FC7C9CFA3DAE}">
      <text>
        <r>
          <rPr>
            <b/>
            <sz val="9"/>
            <color indexed="81"/>
            <rFont val="Tahoma"/>
            <family val="2"/>
          </rPr>
          <t>=IF($C40="","",IFERROR(CIQ($C40,"IQ_GP",G$28,vd,,,curr)*$L$3,""))</t>
        </r>
      </text>
    </comment>
    <comment ref="H40" authorId="0" shapeId="0" xr:uid="{97C1FA15-51CA-4BEF-91D3-5F4D374AAE80}">
      <text>
        <r>
          <rPr>
            <b/>
            <sz val="9"/>
            <color indexed="81"/>
            <rFont val="Tahoma"/>
            <family val="2"/>
          </rPr>
          <t>=IF($C40="","",IFERROR(CIQ($C40,"IQ_GP",H$28,vd,,,curr)*$L$3,""))</t>
        </r>
      </text>
    </comment>
    <comment ref="I40" authorId="0" shapeId="0" xr:uid="{5F1CECF7-0F62-44B5-BD15-0BBCEF201C15}">
      <text>
        <r>
          <rPr>
            <b/>
            <sz val="9"/>
            <color indexed="81"/>
            <rFont val="Tahoma"/>
            <family val="2"/>
          </rPr>
          <t>=IF($C40="","",IFERROR(CIQ($C40,"IQ_GP",I$28,vd,,,curr)*$L$3,""))</t>
        </r>
      </text>
    </comment>
    <comment ref="J40" authorId="0" shapeId="0" xr:uid="{609486DF-B281-45EC-ACD0-CCECCB237587}">
      <text>
        <r>
          <rPr>
            <b/>
            <sz val="9"/>
            <color indexed="81"/>
            <rFont val="Tahoma"/>
            <family val="2"/>
          </rPr>
          <t>=IF($C40="","",IFERROR(CIQ($C40,"IQ_GP",J$28,vd,,,curr)*$L$3,""))</t>
        </r>
      </text>
    </comment>
    <comment ref="K40" authorId="0" shapeId="0" xr:uid="{BC6CAFBE-B3F9-42B5-A27F-E42070380139}">
      <text>
        <r>
          <rPr>
            <b/>
            <sz val="9"/>
            <color indexed="81"/>
            <rFont val="Tahoma"/>
            <family val="2"/>
          </rPr>
          <t>=IF($C40="","",IFERROR(CIQ($C40,"IQ_GP",K$28,vd,,,curr)*$L$3,""))</t>
        </r>
      </text>
    </comment>
    <comment ref="L40" authorId="0" shapeId="0" xr:uid="{1F429C5A-A6C3-4A07-8669-E3E8BF1A946D}">
      <text>
        <r>
          <rPr>
            <b/>
            <sz val="9"/>
            <color indexed="81"/>
            <rFont val="Tahoma"/>
            <family val="2"/>
          </rPr>
          <t>=IF($C40="","",IFERROR(CIQ($C40,"IQ_GP",L$28,vd,,,curr)*$L$3,""))</t>
        </r>
      </text>
    </comment>
    <comment ref="M40" authorId="0" shapeId="0" xr:uid="{B715022C-6E2F-4418-BF14-BD1E66796926}">
      <text>
        <r>
          <rPr>
            <b/>
            <sz val="9"/>
            <color indexed="81"/>
            <rFont val="Tahoma"/>
            <family val="2"/>
          </rPr>
          <t>=IF($C40="","",IFERROR(CIQ($C40,"IQ_GP",M$28,vd,,,curr)*$L$3,""))</t>
        </r>
      </text>
    </comment>
    <comment ref="N40" authorId="0" shapeId="0" xr:uid="{7B8D2EFA-2D66-4A28-BA75-3003FFA9EBD0}">
      <text>
        <r>
          <rPr>
            <b/>
            <sz val="9"/>
            <color indexed="81"/>
            <rFont val="Tahoma"/>
            <family val="2"/>
          </rPr>
          <t>=IF($C40="","",IFERROR(CIQ($C40,"IQ_GP",N$28,vd,,,curr)*$L$3,""))</t>
        </r>
      </text>
    </comment>
    <comment ref="D41" authorId="0" shapeId="0" xr:uid="{B3ACF8D9-1945-41D6-9EF5-888A2DA186BF}">
      <text>
        <r>
          <rPr>
            <b/>
            <sz val="9"/>
            <color indexed="81"/>
            <rFont val="Tahoma"/>
            <family val="2"/>
          </rPr>
          <t>=IF($C41="","",IFERROR(CIQ($C41,"IQ_GP",D$28,vd,,,curr)*$L$3,""))</t>
        </r>
      </text>
    </comment>
    <comment ref="E41" authorId="0" shapeId="0" xr:uid="{74756245-A1A2-484A-B41F-FBF151B9AF5B}">
      <text>
        <r>
          <rPr>
            <b/>
            <sz val="9"/>
            <color indexed="81"/>
            <rFont val="Tahoma"/>
            <family val="2"/>
          </rPr>
          <t>=IF($C41="","",IFERROR(CIQ($C41,"IQ_GP",E$28,vd,,,curr)*$L$3,""))</t>
        </r>
      </text>
    </comment>
    <comment ref="F41" authorId="0" shapeId="0" xr:uid="{99AC0411-90CD-4849-9293-693891AE1A3C}">
      <text>
        <r>
          <rPr>
            <b/>
            <sz val="9"/>
            <color indexed="81"/>
            <rFont val="Tahoma"/>
            <family val="2"/>
          </rPr>
          <t>=IF($C41="","",IFERROR(CIQ($C41,"IQ_GP",F$28,vd,,,curr)*$L$3,""))</t>
        </r>
      </text>
    </comment>
    <comment ref="G41" authorId="0" shapeId="0" xr:uid="{80C1FADA-5823-4CD5-8AA6-5CF2A02DEA4D}">
      <text>
        <r>
          <rPr>
            <b/>
            <sz val="9"/>
            <color indexed="81"/>
            <rFont val="Tahoma"/>
            <family val="2"/>
          </rPr>
          <t>=IF($C41="","",IFERROR(CIQ($C41,"IQ_GP",G$28,vd,,,curr)*$L$3,""))</t>
        </r>
      </text>
    </comment>
    <comment ref="H41" authorId="0" shapeId="0" xr:uid="{C1901699-5580-4D5C-8109-D9FA964E92E6}">
      <text>
        <r>
          <rPr>
            <b/>
            <sz val="9"/>
            <color indexed="81"/>
            <rFont val="Tahoma"/>
            <family val="2"/>
          </rPr>
          <t>=IF($C41="","",IFERROR(CIQ($C41,"IQ_GP",H$28,vd,,,curr)*$L$3,""))</t>
        </r>
      </text>
    </comment>
    <comment ref="I41" authorId="0" shapeId="0" xr:uid="{EB3B7702-B30C-45F3-AD2D-1FEB6D524DB1}">
      <text>
        <r>
          <rPr>
            <b/>
            <sz val="9"/>
            <color indexed="81"/>
            <rFont val="Tahoma"/>
            <family val="2"/>
          </rPr>
          <t>=IF($C41="","",IFERROR(CIQ($C41,"IQ_GP",I$28,vd,,,curr)*$L$3,""))</t>
        </r>
      </text>
    </comment>
    <comment ref="J41" authorId="0" shapeId="0" xr:uid="{C2B0E5C9-20A6-4A56-BE82-274EFCA8F4E6}">
      <text>
        <r>
          <rPr>
            <b/>
            <sz val="9"/>
            <color indexed="81"/>
            <rFont val="Tahoma"/>
            <family val="2"/>
          </rPr>
          <t>=IF($C41="","",IFERROR(CIQ($C41,"IQ_GP",J$28,vd,,,curr)*$L$3,""))</t>
        </r>
      </text>
    </comment>
    <comment ref="K41" authorId="0" shapeId="0" xr:uid="{B40E608B-8343-404D-BB58-7252781E0C3F}">
      <text>
        <r>
          <rPr>
            <b/>
            <sz val="9"/>
            <color indexed="81"/>
            <rFont val="Tahoma"/>
            <family val="2"/>
          </rPr>
          <t>=IF($C41="","",IFERROR(CIQ($C41,"IQ_GP",K$28,vd,,,curr)*$L$3,""))</t>
        </r>
      </text>
    </comment>
    <comment ref="L41" authorId="0" shapeId="0" xr:uid="{9A3A846F-4D7F-4F36-B3B8-CA0D1972EE24}">
      <text>
        <r>
          <rPr>
            <b/>
            <sz val="9"/>
            <color indexed="81"/>
            <rFont val="Tahoma"/>
            <family val="2"/>
          </rPr>
          <t>=IF($C41="","",IFERROR(CIQ($C41,"IQ_GP",L$28,vd,,,curr)*$L$3,""))</t>
        </r>
      </text>
    </comment>
    <comment ref="M41" authorId="0" shapeId="0" xr:uid="{07ECC8A4-5063-4559-B709-DD043A26288F}">
      <text>
        <r>
          <rPr>
            <b/>
            <sz val="9"/>
            <color indexed="81"/>
            <rFont val="Tahoma"/>
            <family val="2"/>
          </rPr>
          <t>=IF($C41="","",IFERROR(CIQ($C41,"IQ_GP",M$28,vd,,,curr)*$L$3,""))</t>
        </r>
      </text>
    </comment>
    <comment ref="N41" authorId="0" shapeId="0" xr:uid="{681FFF6D-7C19-4309-9780-642872D9FA28}">
      <text>
        <r>
          <rPr>
            <b/>
            <sz val="9"/>
            <color indexed="81"/>
            <rFont val="Tahoma"/>
            <family val="2"/>
          </rPr>
          <t>=IF($C41="","",IFERROR(CIQ($C41,"IQ_GP",N$28,vd,,,curr)*$L$3,""))</t>
        </r>
      </text>
    </comment>
    <comment ref="D42" authorId="0" shapeId="0" xr:uid="{C5B7D013-69AB-4AB0-8E3D-2B9973520882}">
      <text>
        <r>
          <rPr>
            <b/>
            <sz val="9"/>
            <color indexed="81"/>
            <rFont val="Tahoma"/>
            <family val="2"/>
          </rPr>
          <t>=IF($C42="","",IFERROR(CIQ($C42,"IQ_GP",D$28,vd,,,curr)*$L$3,""))</t>
        </r>
      </text>
    </comment>
    <comment ref="E42" authorId="0" shapeId="0" xr:uid="{4FA09955-D3A5-4023-A548-BB2466EC4754}">
      <text>
        <r>
          <rPr>
            <b/>
            <sz val="9"/>
            <color indexed="81"/>
            <rFont val="Tahoma"/>
            <family val="2"/>
          </rPr>
          <t>=IF($C42="","",IFERROR(CIQ($C42,"IQ_GP",E$28,vd,,,curr)*$L$3,""))</t>
        </r>
      </text>
    </comment>
    <comment ref="F42" authorId="0" shapeId="0" xr:uid="{13C27331-BF3B-48BC-917D-1DF36FB2C487}">
      <text>
        <r>
          <rPr>
            <b/>
            <sz val="9"/>
            <color indexed="81"/>
            <rFont val="Tahoma"/>
            <family val="2"/>
          </rPr>
          <t>=IF($C42="","",IFERROR(CIQ($C42,"IQ_GP",F$28,vd,,,curr)*$L$3,""))</t>
        </r>
      </text>
    </comment>
    <comment ref="G42" authorId="0" shapeId="0" xr:uid="{420567A7-39A7-493D-8FE3-AB62C9F779E4}">
      <text>
        <r>
          <rPr>
            <b/>
            <sz val="9"/>
            <color indexed="81"/>
            <rFont val="Tahoma"/>
            <family val="2"/>
          </rPr>
          <t>=IF($C42="","",IFERROR(CIQ($C42,"IQ_GP",G$28,vd,,,curr)*$L$3,""))</t>
        </r>
      </text>
    </comment>
    <comment ref="H42" authorId="0" shapeId="0" xr:uid="{EEB726B3-F415-4206-B02F-2D1CAA185D7E}">
      <text>
        <r>
          <rPr>
            <b/>
            <sz val="9"/>
            <color indexed="81"/>
            <rFont val="Tahoma"/>
            <family val="2"/>
          </rPr>
          <t>=IF($C42="","",IFERROR(CIQ($C42,"IQ_GP",H$28,vd,,,curr)*$L$3,""))</t>
        </r>
      </text>
    </comment>
    <comment ref="I42" authorId="0" shapeId="0" xr:uid="{85588B31-CC7D-4DF8-A79E-5E143F6586E7}">
      <text>
        <r>
          <rPr>
            <b/>
            <sz val="9"/>
            <color indexed="81"/>
            <rFont val="Tahoma"/>
            <family val="2"/>
          </rPr>
          <t>=IF($C42="","",IFERROR(CIQ($C42,"IQ_GP",I$28,vd,,,curr)*$L$3,""))</t>
        </r>
      </text>
    </comment>
    <comment ref="J42" authorId="0" shapeId="0" xr:uid="{1A911B16-627C-4A85-9666-01B931CF71CB}">
      <text>
        <r>
          <rPr>
            <b/>
            <sz val="9"/>
            <color indexed="81"/>
            <rFont val="Tahoma"/>
            <family val="2"/>
          </rPr>
          <t>=IF($C42="","",IFERROR(CIQ($C42,"IQ_GP",J$28,vd,,,curr)*$L$3,""))</t>
        </r>
      </text>
    </comment>
    <comment ref="K42" authorId="0" shapeId="0" xr:uid="{DE6F623C-A611-40E2-B10F-C99199CBBE12}">
      <text>
        <r>
          <rPr>
            <b/>
            <sz val="9"/>
            <color indexed="81"/>
            <rFont val="Tahoma"/>
            <family val="2"/>
          </rPr>
          <t>=IF($C42="","",IFERROR(CIQ($C42,"IQ_GP",K$28,vd,,,curr)*$L$3,""))</t>
        </r>
      </text>
    </comment>
    <comment ref="L42" authorId="0" shapeId="0" xr:uid="{028384D8-ED5A-41EA-A4D7-2124245BC2DA}">
      <text>
        <r>
          <rPr>
            <b/>
            <sz val="9"/>
            <color indexed="81"/>
            <rFont val="Tahoma"/>
            <family val="2"/>
          </rPr>
          <t>=IF($C42="","",IFERROR(CIQ($C42,"IQ_GP",L$28,vd,,,curr)*$L$3,""))</t>
        </r>
      </text>
    </comment>
    <comment ref="M42" authorId="0" shapeId="0" xr:uid="{F7BEA26A-EE9C-4C60-858A-63FA8E757319}">
      <text>
        <r>
          <rPr>
            <b/>
            <sz val="9"/>
            <color indexed="81"/>
            <rFont val="Tahoma"/>
            <family val="2"/>
          </rPr>
          <t>=IF($C42="","",IFERROR(CIQ($C42,"IQ_GP",M$28,vd,,,curr)*$L$3,""))</t>
        </r>
      </text>
    </comment>
    <comment ref="N42" authorId="0" shapeId="0" xr:uid="{0D66431D-DC79-4EF1-857C-E163F6CEC00C}">
      <text>
        <r>
          <rPr>
            <b/>
            <sz val="9"/>
            <color indexed="81"/>
            <rFont val="Tahoma"/>
            <family val="2"/>
          </rPr>
          <t>=IF($C42="","",IFERROR(CIQ($C42,"IQ_GP",N$28,vd,,,curr)*$L$3,""))</t>
        </r>
      </text>
    </comment>
    <comment ref="D43" authorId="0" shapeId="0" xr:uid="{2A106CF2-B61A-4CE5-9AEB-B39E4CBE566D}">
      <text>
        <r>
          <rPr>
            <b/>
            <sz val="9"/>
            <color indexed="81"/>
            <rFont val="Tahoma"/>
            <family val="2"/>
          </rPr>
          <t>=IF($C43="","",IFERROR(CIQ($C43,"IQ_GP",D$28,vd,,,curr)*$L$3,""))</t>
        </r>
      </text>
    </comment>
    <comment ref="E43" authorId="0" shapeId="0" xr:uid="{FA676725-B25A-4A65-B789-FCB5FFC8B686}">
      <text>
        <r>
          <rPr>
            <b/>
            <sz val="9"/>
            <color indexed="81"/>
            <rFont val="Tahoma"/>
            <family val="2"/>
          </rPr>
          <t>=IF($C43="","",IFERROR(CIQ($C43,"IQ_GP",E$28,vd,,,curr)*$L$3,""))</t>
        </r>
      </text>
    </comment>
    <comment ref="F43" authorId="0" shapeId="0" xr:uid="{DF53EC84-1ED8-47E7-96E1-155FD07F799A}">
      <text>
        <r>
          <rPr>
            <b/>
            <sz val="9"/>
            <color indexed="81"/>
            <rFont val="Tahoma"/>
            <family val="2"/>
          </rPr>
          <t>=IF($C43="","",IFERROR(CIQ($C43,"IQ_GP",F$28,vd,,,curr)*$L$3,""))</t>
        </r>
      </text>
    </comment>
    <comment ref="G43" authorId="0" shapeId="0" xr:uid="{350F7E72-9B18-4F4C-AD78-FA9D518BCEE8}">
      <text>
        <r>
          <rPr>
            <b/>
            <sz val="9"/>
            <color indexed="81"/>
            <rFont val="Tahoma"/>
            <family val="2"/>
          </rPr>
          <t>=IF($C43="","",IFERROR(CIQ($C43,"IQ_GP",G$28,vd,,,curr)*$L$3,""))</t>
        </r>
      </text>
    </comment>
    <comment ref="H43" authorId="0" shapeId="0" xr:uid="{1BD816EC-075C-4888-84C3-4E3D89D9A1A1}">
      <text>
        <r>
          <rPr>
            <b/>
            <sz val="9"/>
            <color indexed="81"/>
            <rFont val="Tahoma"/>
            <family val="2"/>
          </rPr>
          <t>=IF($C43="","",IFERROR(CIQ($C43,"IQ_GP",H$28,vd,,,curr)*$L$3,""))</t>
        </r>
      </text>
    </comment>
    <comment ref="I43" authorId="0" shapeId="0" xr:uid="{AB6E475F-6C1C-475F-BF10-767178EF8073}">
      <text>
        <r>
          <rPr>
            <b/>
            <sz val="9"/>
            <color indexed="81"/>
            <rFont val="Tahoma"/>
            <family val="2"/>
          </rPr>
          <t>=IF($C43="","",IFERROR(CIQ($C43,"IQ_GP",I$28,vd,,,curr)*$L$3,""))</t>
        </r>
      </text>
    </comment>
    <comment ref="J43" authorId="0" shapeId="0" xr:uid="{F82D7E5A-962B-42E9-B045-3873DB13563A}">
      <text>
        <r>
          <rPr>
            <b/>
            <sz val="9"/>
            <color indexed="81"/>
            <rFont val="Tahoma"/>
            <family val="2"/>
          </rPr>
          <t>=IF($C43="","",IFERROR(CIQ($C43,"IQ_GP",J$28,vd,,,curr)*$L$3,""))</t>
        </r>
      </text>
    </comment>
    <comment ref="K43" authorId="0" shapeId="0" xr:uid="{89AD0489-052F-4814-AB9E-3C561E137D69}">
      <text>
        <r>
          <rPr>
            <b/>
            <sz val="9"/>
            <color indexed="81"/>
            <rFont val="Tahoma"/>
            <family val="2"/>
          </rPr>
          <t>=IF($C43="","",IFERROR(CIQ($C43,"IQ_GP",K$28,vd,,,curr)*$L$3,""))</t>
        </r>
      </text>
    </comment>
    <comment ref="L43" authorId="0" shapeId="0" xr:uid="{B7DBD124-CDD5-44A7-9C86-415159C62217}">
      <text>
        <r>
          <rPr>
            <b/>
            <sz val="9"/>
            <color indexed="81"/>
            <rFont val="Tahoma"/>
            <family val="2"/>
          </rPr>
          <t>=IF($C43="","",IFERROR(CIQ($C43,"IQ_GP",L$28,vd,,,curr)*$L$3,""))</t>
        </r>
      </text>
    </comment>
    <comment ref="M43" authorId="0" shapeId="0" xr:uid="{649CF74B-418A-40CC-A8DF-97FB001AC610}">
      <text>
        <r>
          <rPr>
            <b/>
            <sz val="9"/>
            <color indexed="81"/>
            <rFont val="Tahoma"/>
            <family val="2"/>
          </rPr>
          <t>=IF($C43="","",IFERROR(CIQ($C43,"IQ_GP",M$28,vd,,,curr)*$L$3,""))</t>
        </r>
      </text>
    </comment>
    <comment ref="N43" authorId="0" shapeId="0" xr:uid="{464DC841-BC98-4E7A-B78A-2E0E6EB0C7EF}">
      <text>
        <r>
          <rPr>
            <b/>
            <sz val="9"/>
            <color indexed="81"/>
            <rFont val="Tahoma"/>
            <family val="2"/>
          </rPr>
          <t>=IF($C43="","",IFERROR(CIQ($C43,"IQ_GP",N$28,vd,,,curr)*$L$3,""))</t>
        </r>
      </text>
    </comment>
    <comment ref="D49" authorId="0" shapeId="0" xr:uid="{267B7CA5-AD89-42C4-9A22-12D392E6E3DA}">
      <text>
        <r>
          <rPr>
            <b/>
            <sz val="9"/>
            <color indexed="81"/>
            <rFont val="Tahoma"/>
            <family val="2"/>
          </rPr>
          <t>=IF($C49="","",IFERROR(CIQ($C49,"IQ_EBITDA",D$48,vd,,,curr)*$L$3,""))</t>
        </r>
      </text>
    </comment>
    <comment ref="E49" authorId="0" shapeId="0" xr:uid="{893E73C7-B575-40B7-BADF-76BBCE960476}">
      <text>
        <r>
          <rPr>
            <b/>
            <sz val="9"/>
            <color indexed="81"/>
            <rFont val="Tahoma"/>
            <family val="2"/>
          </rPr>
          <t>=IF($C49="","",IFERROR(CIQ($C49,"IQ_EBITDA",E$48,vd,,,curr)*$L$3,""))</t>
        </r>
      </text>
    </comment>
    <comment ref="F49" authorId="0" shapeId="0" xr:uid="{AEFAA1F9-FB35-435A-8FF2-EE993A2CFC22}">
      <text>
        <r>
          <rPr>
            <b/>
            <sz val="9"/>
            <color indexed="81"/>
            <rFont val="Tahoma"/>
            <family val="2"/>
          </rPr>
          <t>=IF($C49="","",IFERROR(CIQ($C49,"IQ_EBITDA",F$48,vd,,,curr)*$L$3,""))</t>
        </r>
      </text>
    </comment>
    <comment ref="G49" authorId="0" shapeId="0" xr:uid="{58656B8C-A9C9-44D1-BDF6-F676000AE931}">
      <text>
        <r>
          <rPr>
            <b/>
            <sz val="9"/>
            <color indexed="81"/>
            <rFont val="Tahoma"/>
            <family val="2"/>
          </rPr>
          <t>=IF($C49="","",IFERROR(CIQ($C49,"IQ_EBITDA",G$48,vd,,,curr)*$L$3,""))</t>
        </r>
      </text>
    </comment>
    <comment ref="H49" authorId="0" shapeId="0" xr:uid="{FEFF7EB4-8465-41A2-BA39-89A850748072}">
      <text>
        <r>
          <rPr>
            <b/>
            <sz val="9"/>
            <color indexed="81"/>
            <rFont val="Tahoma"/>
            <family val="2"/>
          </rPr>
          <t>=IF($C49="","",IFERROR(CIQ($C49,"IQ_EBITDA",H$48,vd,,,curr)*$L$3,""))</t>
        </r>
      </text>
    </comment>
    <comment ref="I49" authorId="0" shapeId="0" xr:uid="{23CD8A93-5E91-47A6-B847-4E7E18337281}">
      <text>
        <r>
          <rPr>
            <b/>
            <sz val="9"/>
            <color indexed="81"/>
            <rFont val="Tahoma"/>
            <family val="2"/>
          </rPr>
          <t>=IF($C49="","",IFERROR(CIQ($C49,"IQ_EBITDA",I$48,vd,,,curr)*$L$3,""))</t>
        </r>
      </text>
    </comment>
    <comment ref="J49" authorId="0" shapeId="0" xr:uid="{0F175CFF-06B4-429F-A22A-EC7D5FF09B9E}">
      <text>
        <r>
          <rPr>
            <b/>
            <sz val="9"/>
            <color indexed="81"/>
            <rFont val="Tahoma"/>
            <family val="2"/>
          </rPr>
          <t>=IF($C49="","",IFERROR(CIQ($C49,"IQ_EBITDA",J$48,vd,,,curr)*$L$3,""))</t>
        </r>
      </text>
    </comment>
    <comment ref="K49" authorId="0" shapeId="0" xr:uid="{4A7A1BC5-8CE4-420D-A7CE-00258095A47A}">
      <text>
        <r>
          <rPr>
            <b/>
            <sz val="9"/>
            <color indexed="81"/>
            <rFont val="Tahoma"/>
            <family val="2"/>
          </rPr>
          <t>=IF($C49="","",IFERROR(CIQ($C49,"IQ_EBITDA",K$48,vd,,,curr)*$L$3,""))</t>
        </r>
      </text>
    </comment>
    <comment ref="L49" authorId="0" shapeId="0" xr:uid="{20FCD54F-1F9C-4D99-B768-C40FD45B02E5}">
      <text>
        <r>
          <rPr>
            <b/>
            <sz val="9"/>
            <color indexed="81"/>
            <rFont val="Tahoma"/>
            <family val="2"/>
          </rPr>
          <t>=IF($C49="","",IFERROR(CIQ($C49,"IQ_EBITDA",L$48,vd,,,curr)*$L$3,""))</t>
        </r>
      </text>
    </comment>
    <comment ref="M49" authorId="0" shapeId="0" xr:uid="{226E3CB1-3008-4DE2-8AD7-4B2383C5B730}">
      <text>
        <r>
          <rPr>
            <b/>
            <sz val="9"/>
            <color indexed="81"/>
            <rFont val="Tahoma"/>
            <family val="2"/>
          </rPr>
          <t>=IF($C49="","",IFERROR(CIQ($C49,"IQ_EBITDA",M$48,vd,,,curr)*$L$3,""))</t>
        </r>
      </text>
    </comment>
    <comment ref="N49" authorId="0" shapeId="0" xr:uid="{334083EC-2026-41FB-AF23-2D657F211F15}">
      <text>
        <r>
          <rPr>
            <b/>
            <sz val="9"/>
            <color indexed="81"/>
            <rFont val="Tahoma"/>
            <family val="2"/>
          </rPr>
          <t>=IF($C49="","",IFERROR(CIQ($C49,"IQ_EBITDA",N$48,vd,,,curr)*$L$3,""))</t>
        </r>
      </text>
    </comment>
    <comment ref="D50" authorId="0" shapeId="0" xr:uid="{4B220EA0-DE50-4A27-AA27-52519AFFA67D}">
      <text>
        <r>
          <rPr>
            <b/>
            <sz val="9"/>
            <color indexed="81"/>
            <rFont val="Tahoma"/>
            <family val="2"/>
          </rPr>
          <t>=IF($C50="","",IFERROR(CIQ($C50,"IQ_EBITDA",D$48,vd,,,curr)*$L$3,""))</t>
        </r>
      </text>
    </comment>
    <comment ref="E50" authorId="0" shapeId="0" xr:uid="{38393259-64F1-44D6-A754-CE7CDAC33B22}">
      <text>
        <r>
          <rPr>
            <b/>
            <sz val="9"/>
            <color indexed="81"/>
            <rFont val="Tahoma"/>
            <family val="2"/>
          </rPr>
          <t>=IF($C50="","",IFERROR(CIQ($C50,"IQ_EBITDA",E$48,vd,,,curr)*$L$3,""))</t>
        </r>
      </text>
    </comment>
    <comment ref="F50" authorId="0" shapeId="0" xr:uid="{4C20556A-0390-4F31-A3C5-8831A26870C1}">
      <text>
        <r>
          <rPr>
            <b/>
            <sz val="9"/>
            <color indexed="81"/>
            <rFont val="Tahoma"/>
            <family val="2"/>
          </rPr>
          <t>=IF($C50="","",IFERROR(CIQ($C50,"IQ_EBITDA",F$48,vd,,,curr)*$L$3,""))</t>
        </r>
      </text>
    </comment>
    <comment ref="G50" authorId="0" shapeId="0" xr:uid="{1D7672CC-FF1E-46DD-AE8E-CF31D4C46ABC}">
      <text>
        <r>
          <rPr>
            <b/>
            <sz val="9"/>
            <color indexed="81"/>
            <rFont val="Tahoma"/>
            <family val="2"/>
          </rPr>
          <t>=IF($C50="","",IFERROR(CIQ($C50,"IQ_EBITDA",G$48,vd,,,curr)*$L$3,""))</t>
        </r>
      </text>
    </comment>
    <comment ref="H50" authorId="0" shapeId="0" xr:uid="{F0E67ED5-DAD3-4711-9D3C-7222F0B0E189}">
      <text>
        <r>
          <rPr>
            <b/>
            <sz val="9"/>
            <color indexed="81"/>
            <rFont val="Tahoma"/>
            <family val="2"/>
          </rPr>
          <t>=IF($C50="","",IFERROR(CIQ($C50,"IQ_EBITDA",H$48,vd,,,curr)*$L$3,""))</t>
        </r>
      </text>
    </comment>
    <comment ref="I50" authorId="0" shapeId="0" xr:uid="{D361BFA3-C87C-4C0D-82EF-FB01C62AFCE1}">
      <text>
        <r>
          <rPr>
            <b/>
            <sz val="9"/>
            <color indexed="81"/>
            <rFont val="Tahoma"/>
            <family val="2"/>
          </rPr>
          <t>=IF($C50="","",IFERROR(CIQ($C50,"IQ_EBITDA",I$48,vd,,,curr)*$L$3,""))</t>
        </r>
      </text>
    </comment>
    <comment ref="J50" authorId="0" shapeId="0" xr:uid="{3C87D380-18D3-4391-88B7-9063484AFF30}">
      <text>
        <r>
          <rPr>
            <b/>
            <sz val="9"/>
            <color indexed="81"/>
            <rFont val="Tahoma"/>
            <family val="2"/>
          </rPr>
          <t>=IF($C50="","",IFERROR(CIQ($C50,"IQ_EBITDA",J$48,vd,,,curr)*$L$3,""))</t>
        </r>
      </text>
    </comment>
    <comment ref="K50" authorId="0" shapeId="0" xr:uid="{B1A9ECA2-327D-414A-AF2A-317DBC207F90}">
      <text>
        <r>
          <rPr>
            <b/>
            <sz val="9"/>
            <color indexed="81"/>
            <rFont val="Tahoma"/>
            <family val="2"/>
          </rPr>
          <t>=IF($C50="","",IFERROR(CIQ($C50,"IQ_EBITDA",K$48,vd,,,curr)*$L$3,""))</t>
        </r>
      </text>
    </comment>
    <comment ref="L50" authorId="0" shapeId="0" xr:uid="{68A4C3CB-5FD0-4DE4-948A-85EB34073030}">
      <text>
        <r>
          <rPr>
            <b/>
            <sz val="9"/>
            <color indexed="81"/>
            <rFont val="Tahoma"/>
            <family val="2"/>
          </rPr>
          <t>=IF($C50="","",IFERROR(CIQ($C50,"IQ_EBITDA",L$48,vd,,,curr)*$L$3,""))</t>
        </r>
      </text>
    </comment>
    <comment ref="M50" authorId="0" shapeId="0" xr:uid="{909485DA-A5BE-4B3C-9B42-C388B91239CD}">
      <text>
        <r>
          <rPr>
            <b/>
            <sz val="9"/>
            <color indexed="81"/>
            <rFont val="Tahoma"/>
            <family val="2"/>
          </rPr>
          <t>=IF($C50="","",IFERROR(CIQ($C50,"IQ_EBITDA",M$48,vd,,,curr)*$L$3,""))</t>
        </r>
      </text>
    </comment>
    <comment ref="N50" authorId="0" shapeId="0" xr:uid="{21F1CFD3-23F5-4C47-9217-B30E2EB64F66}">
      <text>
        <r>
          <rPr>
            <b/>
            <sz val="9"/>
            <color indexed="81"/>
            <rFont val="Tahoma"/>
            <family val="2"/>
          </rPr>
          <t>=IF($C50="","",IFERROR(CIQ($C50,"IQ_EBITDA",N$48,vd,,,curr)*$L$3,""))</t>
        </r>
      </text>
    </comment>
    <comment ref="D51" authorId="0" shapeId="0" xr:uid="{C3C396C4-C257-45BA-B948-72E51E80C09B}">
      <text>
        <r>
          <rPr>
            <b/>
            <sz val="9"/>
            <color indexed="81"/>
            <rFont val="Tahoma"/>
            <family val="2"/>
          </rPr>
          <t>=IF($C51="","",IFERROR(CIQ($C51,"IQ_EBITDA",D$48,vd,,,curr)*$L$3,""))</t>
        </r>
      </text>
    </comment>
    <comment ref="E51" authorId="0" shapeId="0" xr:uid="{6E553D37-7997-4F37-AA83-39002F1EF91D}">
      <text>
        <r>
          <rPr>
            <b/>
            <sz val="9"/>
            <color indexed="81"/>
            <rFont val="Tahoma"/>
            <family val="2"/>
          </rPr>
          <t>=IF($C51="","",IFERROR(CIQ($C51,"IQ_EBITDA",E$48,vd,,,curr)*$L$3,""))</t>
        </r>
      </text>
    </comment>
    <comment ref="F51" authorId="0" shapeId="0" xr:uid="{88A3CD5D-217A-4786-973A-837197CDF24C}">
      <text>
        <r>
          <rPr>
            <b/>
            <sz val="9"/>
            <color indexed="81"/>
            <rFont val="Tahoma"/>
            <family val="2"/>
          </rPr>
          <t>=IF($C51="","",IFERROR(CIQ($C51,"IQ_EBITDA",F$48,vd,,,curr)*$L$3,""))</t>
        </r>
      </text>
    </comment>
    <comment ref="G51" authorId="0" shapeId="0" xr:uid="{93FABA3C-357E-4515-9640-A2CECA127314}">
      <text>
        <r>
          <rPr>
            <b/>
            <sz val="9"/>
            <color indexed="81"/>
            <rFont val="Tahoma"/>
            <family val="2"/>
          </rPr>
          <t>=IF($C51="","",IFERROR(CIQ($C51,"IQ_EBITDA",G$48,vd,,,curr)*$L$3,""))</t>
        </r>
      </text>
    </comment>
    <comment ref="H51" authorId="0" shapeId="0" xr:uid="{957E901A-3476-472C-BD80-446327006E9C}">
      <text>
        <r>
          <rPr>
            <b/>
            <sz val="9"/>
            <color indexed="81"/>
            <rFont val="Tahoma"/>
            <family val="2"/>
          </rPr>
          <t>=IF($C51="","",IFERROR(CIQ($C51,"IQ_EBITDA",H$48,vd,,,curr)*$L$3,""))</t>
        </r>
      </text>
    </comment>
    <comment ref="I51" authorId="0" shapeId="0" xr:uid="{D00640C9-1287-46D2-AB46-A76FF6BAD172}">
      <text>
        <r>
          <rPr>
            <b/>
            <sz val="9"/>
            <color indexed="81"/>
            <rFont val="Tahoma"/>
            <family val="2"/>
          </rPr>
          <t>=IF($C51="","",IFERROR(CIQ($C51,"IQ_EBITDA",I$48,vd,,,curr)*$L$3,""))</t>
        </r>
      </text>
    </comment>
    <comment ref="J51" authorId="0" shapeId="0" xr:uid="{49B58E9E-2BAC-446C-86E4-DBFDF035051F}">
      <text>
        <r>
          <rPr>
            <b/>
            <sz val="9"/>
            <color indexed="81"/>
            <rFont val="Tahoma"/>
            <family val="2"/>
          </rPr>
          <t>=IF($C51="","",IFERROR(CIQ($C51,"IQ_EBITDA",J$48,vd,,,curr)*$L$3,""))</t>
        </r>
      </text>
    </comment>
    <comment ref="K51" authorId="0" shapeId="0" xr:uid="{4847F69A-2768-485B-875B-8425366B141D}">
      <text>
        <r>
          <rPr>
            <b/>
            <sz val="9"/>
            <color indexed="81"/>
            <rFont val="Tahoma"/>
            <family val="2"/>
          </rPr>
          <t>=IF($C51="","",IFERROR(CIQ($C51,"IQ_EBITDA",K$48,vd,,,curr)*$L$3,""))</t>
        </r>
      </text>
    </comment>
    <comment ref="L51" authorId="0" shapeId="0" xr:uid="{52D1E416-A206-4029-A6D7-E8F067E12F96}">
      <text>
        <r>
          <rPr>
            <b/>
            <sz val="9"/>
            <color indexed="81"/>
            <rFont val="Tahoma"/>
            <family val="2"/>
          </rPr>
          <t>=IF($C51="","",IFERROR(CIQ($C51,"IQ_EBITDA",L$48,vd,,,curr)*$L$3,""))</t>
        </r>
      </text>
    </comment>
    <comment ref="M51" authorId="0" shapeId="0" xr:uid="{3A387428-081A-49CE-9CE3-47832A16B255}">
      <text>
        <r>
          <rPr>
            <b/>
            <sz val="9"/>
            <color indexed="81"/>
            <rFont val="Tahoma"/>
            <family val="2"/>
          </rPr>
          <t>=IF($C51="","",IFERROR(CIQ($C51,"IQ_EBITDA",M$48,vd,,,curr)*$L$3,""))</t>
        </r>
      </text>
    </comment>
    <comment ref="N51" authorId="0" shapeId="0" xr:uid="{DE3B254B-3D67-425C-B4E7-666CCA4B7206}">
      <text>
        <r>
          <rPr>
            <b/>
            <sz val="9"/>
            <color indexed="81"/>
            <rFont val="Tahoma"/>
            <family val="2"/>
          </rPr>
          <t>=IF($C51="","",IFERROR(CIQ($C51,"IQ_EBITDA",N$48,vd,,,curr)*$L$3,""))</t>
        </r>
      </text>
    </comment>
    <comment ref="D52" authorId="0" shapeId="0" xr:uid="{26904A77-DC88-44DC-9CA4-2151F7DB44BF}">
      <text>
        <r>
          <rPr>
            <b/>
            <sz val="9"/>
            <color indexed="81"/>
            <rFont val="Tahoma"/>
            <family val="2"/>
          </rPr>
          <t>=IF($C52="","",IFERROR(CIQ($C52,"IQ_EBITDA",D$48,vd,,,curr)*$L$3,""))</t>
        </r>
      </text>
    </comment>
    <comment ref="E52" authorId="0" shapeId="0" xr:uid="{DBF301DB-0F85-4820-A494-8B3D1B418D68}">
      <text>
        <r>
          <rPr>
            <b/>
            <sz val="9"/>
            <color indexed="81"/>
            <rFont val="Tahoma"/>
            <family val="2"/>
          </rPr>
          <t>=IF($C52="","",IFERROR(CIQ($C52,"IQ_EBITDA",E$48,vd,,,curr)*$L$3,""))</t>
        </r>
      </text>
    </comment>
    <comment ref="F52" authorId="0" shapeId="0" xr:uid="{56EAA4B3-F92F-4299-B925-35970CB04C15}">
      <text>
        <r>
          <rPr>
            <b/>
            <sz val="9"/>
            <color indexed="81"/>
            <rFont val="Tahoma"/>
            <family val="2"/>
          </rPr>
          <t>=IF($C52="","",IFERROR(CIQ($C52,"IQ_EBITDA",F$48,vd,,,curr)*$L$3,""))</t>
        </r>
      </text>
    </comment>
    <comment ref="G52" authorId="0" shapeId="0" xr:uid="{1174CF5B-0488-4F73-8A44-470C88B228F4}">
      <text>
        <r>
          <rPr>
            <b/>
            <sz val="9"/>
            <color indexed="81"/>
            <rFont val="Tahoma"/>
            <family val="2"/>
          </rPr>
          <t>=IF($C52="","",IFERROR(CIQ($C52,"IQ_EBITDA",G$48,vd,,,curr)*$L$3,""))</t>
        </r>
      </text>
    </comment>
    <comment ref="H52" authorId="0" shapeId="0" xr:uid="{9D710C3E-328D-4305-9678-0B608FA901E4}">
      <text>
        <r>
          <rPr>
            <b/>
            <sz val="9"/>
            <color indexed="81"/>
            <rFont val="Tahoma"/>
            <family val="2"/>
          </rPr>
          <t>=IF($C52="","",IFERROR(CIQ($C52,"IQ_EBITDA",H$48,vd,,,curr)*$L$3,""))</t>
        </r>
      </text>
    </comment>
    <comment ref="I52" authorId="0" shapeId="0" xr:uid="{2BDC748C-E2D0-481D-9DD8-6A82B5CE3A19}">
      <text>
        <r>
          <rPr>
            <b/>
            <sz val="9"/>
            <color indexed="81"/>
            <rFont val="Tahoma"/>
            <family val="2"/>
          </rPr>
          <t>=IF($C52="","",IFERROR(CIQ($C52,"IQ_EBITDA",I$48,vd,,,curr)*$L$3,""))</t>
        </r>
      </text>
    </comment>
    <comment ref="J52" authorId="0" shapeId="0" xr:uid="{DEED420E-4954-43AA-861E-4FB1D1B3C06B}">
      <text>
        <r>
          <rPr>
            <b/>
            <sz val="9"/>
            <color indexed="81"/>
            <rFont val="Tahoma"/>
            <family val="2"/>
          </rPr>
          <t>=IF($C52="","",IFERROR(CIQ($C52,"IQ_EBITDA",J$48,vd,,,curr)*$L$3,""))</t>
        </r>
      </text>
    </comment>
    <comment ref="K52" authorId="0" shapeId="0" xr:uid="{526F3CDD-743C-4B78-A8CC-56BDBF36F067}">
      <text>
        <r>
          <rPr>
            <b/>
            <sz val="9"/>
            <color indexed="81"/>
            <rFont val="Tahoma"/>
            <family val="2"/>
          </rPr>
          <t>=IF($C52="","",IFERROR(CIQ($C52,"IQ_EBITDA",K$48,vd,,,curr)*$L$3,""))</t>
        </r>
      </text>
    </comment>
    <comment ref="L52" authorId="0" shapeId="0" xr:uid="{F892089E-20E7-461E-A4DF-B472749D0742}">
      <text>
        <r>
          <rPr>
            <b/>
            <sz val="9"/>
            <color indexed="81"/>
            <rFont val="Tahoma"/>
            <family val="2"/>
          </rPr>
          <t>=IF($C52="","",IFERROR(CIQ($C52,"IQ_EBITDA",L$48,vd,,,curr)*$L$3,""))</t>
        </r>
      </text>
    </comment>
    <comment ref="M52" authorId="0" shapeId="0" xr:uid="{B0F4F48A-DE59-402B-98AD-EAF545300FF6}">
      <text>
        <r>
          <rPr>
            <b/>
            <sz val="9"/>
            <color indexed="81"/>
            <rFont val="Tahoma"/>
            <family val="2"/>
          </rPr>
          <t>=IF($C52="","",IFERROR(CIQ($C52,"IQ_EBITDA",M$48,vd,,,curr)*$L$3,""))</t>
        </r>
      </text>
    </comment>
    <comment ref="N52" authorId="0" shapeId="0" xr:uid="{1C242379-1E30-4ADE-810D-448AC1C51C41}">
      <text>
        <r>
          <rPr>
            <b/>
            <sz val="9"/>
            <color indexed="81"/>
            <rFont val="Tahoma"/>
            <family val="2"/>
          </rPr>
          <t>=IF($C52="","",IFERROR(CIQ($C52,"IQ_EBITDA",N$48,vd,,,curr)*$L$3,""))</t>
        </r>
      </text>
    </comment>
    <comment ref="D53" authorId="0" shapeId="0" xr:uid="{900D89E7-CB42-4425-BB84-E10DD4A2BAC1}">
      <text>
        <r>
          <rPr>
            <b/>
            <sz val="9"/>
            <color indexed="81"/>
            <rFont val="Tahoma"/>
            <family val="2"/>
          </rPr>
          <t>=IF($C53="","",IFERROR(CIQ($C53,"IQ_EBITDA",D$48,vd,,,curr)*$L$3,""))</t>
        </r>
      </text>
    </comment>
    <comment ref="E53" authorId="0" shapeId="0" xr:uid="{4C20A96A-FBF8-4B48-A644-D0FA1603C47A}">
      <text>
        <r>
          <rPr>
            <b/>
            <sz val="9"/>
            <color indexed="81"/>
            <rFont val="Tahoma"/>
            <family val="2"/>
          </rPr>
          <t>=IF($C53="","",IFERROR(CIQ($C53,"IQ_EBITDA",E$48,vd,,,curr)*$L$3,""))</t>
        </r>
      </text>
    </comment>
    <comment ref="F53" authorId="0" shapeId="0" xr:uid="{F3C19394-A2FA-4224-A876-93C075847020}">
      <text>
        <r>
          <rPr>
            <b/>
            <sz val="9"/>
            <color indexed="81"/>
            <rFont val="Tahoma"/>
            <family val="2"/>
          </rPr>
          <t>=IF($C53="","",IFERROR(CIQ($C53,"IQ_EBITDA",F$48,vd,,,curr)*$L$3,""))</t>
        </r>
      </text>
    </comment>
    <comment ref="G53" authorId="0" shapeId="0" xr:uid="{032A449D-F68D-4D68-815A-9E9070853E82}">
      <text>
        <r>
          <rPr>
            <b/>
            <sz val="9"/>
            <color indexed="81"/>
            <rFont val="Tahoma"/>
            <family val="2"/>
          </rPr>
          <t>=IF($C53="","",IFERROR(CIQ($C53,"IQ_EBITDA",G$48,vd,,,curr)*$L$3,""))</t>
        </r>
      </text>
    </comment>
    <comment ref="H53" authorId="0" shapeId="0" xr:uid="{ED0B4BAC-1C78-45FC-9E26-418DF48B9B80}">
      <text>
        <r>
          <rPr>
            <b/>
            <sz val="9"/>
            <color indexed="81"/>
            <rFont val="Tahoma"/>
            <family val="2"/>
          </rPr>
          <t>=IF($C53="","",IFERROR(CIQ($C53,"IQ_EBITDA",H$48,vd,,,curr)*$L$3,""))</t>
        </r>
      </text>
    </comment>
    <comment ref="I53" authorId="0" shapeId="0" xr:uid="{1D254427-A89E-4BE8-90CD-5860E0A76056}">
      <text>
        <r>
          <rPr>
            <b/>
            <sz val="9"/>
            <color indexed="81"/>
            <rFont val="Tahoma"/>
            <family val="2"/>
          </rPr>
          <t>=IF($C53="","",IFERROR(CIQ($C53,"IQ_EBITDA",I$48,vd,,,curr)*$L$3,""))</t>
        </r>
      </text>
    </comment>
    <comment ref="J53" authorId="0" shapeId="0" xr:uid="{5370B2AE-8184-4B50-86B0-3806E2D3D5D9}">
      <text>
        <r>
          <rPr>
            <b/>
            <sz val="9"/>
            <color indexed="81"/>
            <rFont val="Tahoma"/>
            <family val="2"/>
          </rPr>
          <t>=IF($C53="","",IFERROR(CIQ($C53,"IQ_EBITDA",J$48,vd,,,curr)*$L$3,""))</t>
        </r>
      </text>
    </comment>
    <comment ref="K53" authorId="0" shapeId="0" xr:uid="{2A3AFF13-2081-4940-995D-34FA9D5DEC42}">
      <text>
        <r>
          <rPr>
            <b/>
            <sz val="9"/>
            <color indexed="81"/>
            <rFont val="Tahoma"/>
            <family val="2"/>
          </rPr>
          <t>=IF($C53="","",IFERROR(CIQ($C53,"IQ_EBITDA",K$48,vd,,,curr)*$L$3,""))</t>
        </r>
      </text>
    </comment>
    <comment ref="L53" authorId="0" shapeId="0" xr:uid="{4331736C-A1B3-491B-9EE6-60F0C60C31A3}">
      <text>
        <r>
          <rPr>
            <b/>
            <sz val="9"/>
            <color indexed="81"/>
            <rFont val="Tahoma"/>
            <family val="2"/>
          </rPr>
          <t>=IF($C53="","",IFERROR(CIQ($C53,"IQ_EBITDA",L$48,vd,,,curr)*$L$3,""))</t>
        </r>
      </text>
    </comment>
    <comment ref="M53" authorId="0" shapeId="0" xr:uid="{295ADE28-7547-4CF9-B2A7-6BCD796F502A}">
      <text>
        <r>
          <rPr>
            <b/>
            <sz val="9"/>
            <color indexed="81"/>
            <rFont val="Tahoma"/>
            <family val="2"/>
          </rPr>
          <t>=IF($C53="","",IFERROR(CIQ($C53,"IQ_EBITDA",M$48,vd,,,curr)*$L$3,""))</t>
        </r>
      </text>
    </comment>
    <comment ref="N53" authorId="0" shapeId="0" xr:uid="{0E6AFF71-5233-48DB-A1E3-D2C968B59744}">
      <text>
        <r>
          <rPr>
            <b/>
            <sz val="9"/>
            <color indexed="81"/>
            <rFont val="Tahoma"/>
            <family val="2"/>
          </rPr>
          <t>=IF($C53="","",IFERROR(CIQ($C53,"IQ_EBITDA",N$48,vd,,,curr)*$L$3,""))</t>
        </r>
      </text>
    </comment>
    <comment ref="D54" authorId="0" shapeId="0" xr:uid="{75D9771F-84A3-4C15-9905-2D77077B1BEA}">
      <text>
        <r>
          <rPr>
            <b/>
            <sz val="9"/>
            <color indexed="81"/>
            <rFont val="Tahoma"/>
            <family val="2"/>
          </rPr>
          <t>=IF($C54="","",IFERROR(CIQ($C54,"IQ_EBITDA",D$48,vd,,,curr)*$L$3,""))</t>
        </r>
      </text>
    </comment>
    <comment ref="E54" authorId="0" shapeId="0" xr:uid="{80AB1F37-8007-493C-8070-D687CE16E583}">
      <text>
        <r>
          <rPr>
            <b/>
            <sz val="9"/>
            <color indexed="81"/>
            <rFont val="Tahoma"/>
            <family val="2"/>
          </rPr>
          <t>=IF($C54="","",IFERROR(CIQ($C54,"IQ_EBITDA",E$48,vd,,,curr)*$L$3,""))</t>
        </r>
      </text>
    </comment>
    <comment ref="F54" authorId="0" shapeId="0" xr:uid="{DE68D36E-6A4B-4B42-8488-276F849B1AD0}">
      <text>
        <r>
          <rPr>
            <b/>
            <sz val="9"/>
            <color indexed="81"/>
            <rFont val="Tahoma"/>
            <family val="2"/>
          </rPr>
          <t>=IF($C54="","",IFERROR(CIQ($C54,"IQ_EBITDA",F$48,vd,,,curr)*$L$3,""))</t>
        </r>
      </text>
    </comment>
    <comment ref="G54" authorId="0" shapeId="0" xr:uid="{1D584A4F-F0D9-4AE1-9FDD-27084CDCD09D}">
      <text>
        <r>
          <rPr>
            <b/>
            <sz val="9"/>
            <color indexed="81"/>
            <rFont val="Tahoma"/>
            <family val="2"/>
          </rPr>
          <t>=IF($C54="","",IFERROR(CIQ($C54,"IQ_EBITDA",G$48,vd,,,curr)*$L$3,""))</t>
        </r>
      </text>
    </comment>
    <comment ref="H54" authorId="0" shapeId="0" xr:uid="{7579DE31-DBAD-47EE-9472-CA6A8CE312D2}">
      <text>
        <r>
          <rPr>
            <b/>
            <sz val="9"/>
            <color indexed="81"/>
            <rFont val="Tahoma"/>
            <family val="2"/>
          </rPr>
          <t>=IF($C54="","",IFERROR(CIQ($C54,"IQ_EBITDA",H$48,vd,,,curr)*$L$3,""))</t>
        </r>
      </text>
    </comment>
    <comment ref="I54" authorId="0" shapeId="0" xr:uid="{0DCFCC68-784A-4049-A088-C0234F77573B}">
      <text>
        <r>
          <rPr>
            <b/>
            <sz val="9"/>
            <color indexed="81"/>
            <rFont val="Tahoma"/>
            <family val="2"/>
          </rPr>
          <t>=IF($C54="","",IFERROR(CIQ($C54,"IQ_EBITDA",I$48,vd,,,curr)*$L$3,""))</t>
        </r>
      </text>
    </comment>
    <comment ref="J54" authorId="0" shapeId="0" xr:uid="{F32BC82F-D75B-4D53-A226-B04C6B39AF12}">
      <text>
        <r>
          <rPr>
            <b/>
            <sz val="9"/>
            <color indexed="81"/>
            <rFont val="Tahoma"/>
            <family val="2"/>
          </rPr>
          <t>=IF($C54="","",IFERROR(CIQ($C54,"IQ_EBITDA",J$48,vd,,,curr)*$L$3,""))</t>
        </r>
      </text>
    </comment>
    <comment ref="K54" authorId="0" shapeId="0" xr:uid="{17BC23E4-0C17-4D09-BD47-58D21BDDD877}">
      <text>
        <r>
          <rPr>
            <b/>
            <sz val="9"/>
            <color indexed="81"/>
            <rFont val="Tahoma"/>
            <family val="2"/>
          </rPr>
          <t>=IF($C54="","",IFERROR(CIQ($C54,"IQ_EBITDA",K$48,vd,,,curr)*$L$3,""))</t>
        </r>
      </text>
    </comment>
    <comment ref="L54" authorId="0" shapeId="0" xr:uid="{779080A5-1FB2-49D9-B702-6D41A26C0B84}">
      <text>
        <r>
          <rPr>
            <b/>
            <sz val="9"/>
            <color indexed="81"/>
            <rFont val="Tahoma"/>
            <family val="2"/>
          </rPr>
          <t>=IF($C54="","",IFERROR(CIQ($C54,"IQ_EBITDA",L$48,vd,,,curr)*$L$3,""))</t>
        </r>
      </text>
    </comment>
    <comment ref="M54" authorId="0" shapeId="0" xr:uid="{94AEAA7F-9DC1-45AB-925E-FE0C8E0C9401}">
      <text>
        <r>
          <rPr>
            <b/>
            <sz val="9"/>
            <color indexed="81"/>
            <rFont val="Tahoma"/>
            <family val="2"/>
          </rPr>
          <t>=IF($C54="","",IFERROR(CIQ($C54,"IQ_EBITDA",M$48,vd,,,curr)*$L$3,""))</t>
        </r>
      </text>
    </comment>
    <comment ref="N54" authorId="0" shapeId="0" xr:uid="{863D5121-E91F-4AA8-A15D-B9163A53E2B1}">
      <text>
        <r>
          <rPr>
            <b/>
            <sz val="9"/>
            <color indexed="81"/>
            <rFont val="Tahoma"/>
            <family val="2"/>
          </rPr>
          <t>=IF($C54="","",IFERROR(CIQ($C54,"IQ_EBITDA",N$48,vd,,,curr)*$L$3,""))</t>
        </r>
      </text>
    </comment>
    <comment ref="D55" authorId="0" shapeId="0" xr:uid="{D5E8CB1D-0CBC-42C1-BA2F-C5BCA42DED9F}">
      <text>
        <r>
          <rPr>
            <b/>
            <sz val="9"/>
            <color indexed="81"/>
            <rFont val="Tahoma"/>
            <family val="2"/>
          </rPr>
          <t>=IF($C55="","",IFERROR(CIQ($C55,"IQ_EBITDA",D$48,vd,,,curr)*$L$3,""))</t>
        </r>
      </text>
    </comment>
    <comment ref="E55" authorId="0" shapeId="0" xr:uid="{0E8AD23D-7346-4824-B901-EFFC1F483451}">
      <text>
        <r>
          <rPr>
            <b/>
            <sz val="9"/>
            <color indexed="81"/>
            <rFont val="Tahoma"/>
            <family val="2"/>
          </rPr>
          <t>=IF($C55="","",IFERROR(CIQ($C55,"IQ_EBITDA",E$48,vd,,,curr)*$L$3,""))</t>
        </r>
      </text>
    </comment>
    <comment ref="F55" authorId="0" shapeId="0" xr:uid="{DDFF82DE-823A-4189-B835-1EA479EB0817}">
      <text>
        <r>
          <rPr>
            <b/>
            <sz val="9"/>
            <color indexed="81"/>
            <rFont val="Tahoma"/>
            <family val="2"/>
          </rPr>
          <t>=IF($C55="","",IFERROR(CIQ($C55,"IQ_EBITDA",F$48,vd,,,curr)*$L$3,""))</t>
        </r>
      </text>
    </comment>
    <comment ref="G55" authorId="0" shapeId="0" xr:uid="{BC7A155B-E485-4915-8710-178A58E1F8AD}">
      <text>
        <r>
          <rPr>
            <b/>
            <sz val="9"/>
            <color indexed="81"/>
            <rFont val="Tahoma"/>
            <family val="2"/>
          </rPr>
          <t>=IF($C55="","",IFERROR(CIQ($C55,"IQ_EBITDA",G$48,vd,,,curr)*$L$3,""))</t>
        </r>
      </text>
    </comment>
    <comment ref="H55" authorId="0" shapeId="0" xr:uid="{43E8655C-7DE2-469E-998A-01892303ABBF}">
      <text>
        <r>
          <rPr>
            <b/>
            <sz val="9"/>
            <color indexed="81"/>
            <rFont val="Tahoma"/>
            <family val="2"/>
          </rPr>
          <t>=IF($C55="","",IFERROR(CIQ($C55,"IQ_EBITDA",H$48,vd,,,curr)*$L$3,""))</t>
        </r>
      </text>
    </comment>
    <comment ref="I55" authorId="0" shapeId="0" xr:uid="{307E2B70-BB95-4E4C-8FCB-69E8F5B3D455}">
      <text>
        <r>
          <rPr>
            <b/>
            <sz val="9"/>
            <color indexed="81"/>
            <rFont val="Tahoma"/>
            <family val="2"/>
          </rPr>
          <t>=IF($C55="","",IFERROR(CIQ($C55,"IQ_EBITDA",I$48,vd,,,curr)*$L$3,""))</t>
        </r>
      </text>
    </comment>
    <comment ref="J55" authorId="0" shapeId="0" xr:uid="{4FF6ABCE-BB05-47BF-96AD-DB0B80C991D6}">
      <text>
        <r>
          <rPr>
            <b/>
            <sz val="9"/>
            <color indexed="81"/>
            <rFont val="Tahoma"/>
            <family val="2"/>
          </rPr>
          <t>=IF($C55="","",IFERROR(CIQ($C55,"IQ_EBITDA",J$48,vd,,,curr)*$L$3,""))</t>
        </r>
      </text>
    </comment>
    <comment ref="K55" authorId="0" shapeId="0" xr:uid="{C225436F-447A-4149-ABA1-2A6A27DDB8F1}">
      <text>
        <r>
          <rPr>
            <b/>
            <sz val="9"/>
            <color indexed="81"/>
            <rFont val="Tahoma"/>
            <family val="2"/>
          </rPr>
          <t>=IF($C55="","",IFERROR(CIQ($C55,"IQ_EBITDA",K$48,vd,,,curr)*$L$3,""))</t>
        </r>
      </text>
    </comment>
    <comment ref="L55" authorId="0" shapeId="0" xr:uid="{31497E0E-F8E4-4B8C-83CF-F81E0EA2BB82}">
      <text>
        <r>
          <rPr>
            <b/>
            <sz val="9"/>
            <color indexed="81"/>
            <rFont val="Tahoma"/>
            <family val="2"/>
          </rPr>
          <t>=IF($C55="","",IFERROR(CIQ($C55,"IQ_EBITDA",L$48,vd,,,curr)*$L$3,""))</t>
        </r>
      </text>
    </comment>
    <comment ref="M55" authorId="0" shapeId="0" xr:uid="{0E746125-28C8-4F68-A9EF-BDA42738C2CF}">
      <text>
        <r>
          <rPr>
            <b/>
            <sz val="9"/>
            <color indexed="81"/>
            <rFont val="Tahoma"/>
            <family val="2"/>
          </rPr>
          <t>=IF($C55="","",IFERROR(CIQ($C55,"IQ_EBITDA",M$48,vd,,,curr)*$L$3,""))</t>
        </r>
      </text>
    </comment>
    <comment ref="N55" authorId="0" shapeId="0" xr:uid="{44D006C6-8D32-4E23-98C0-1BE404C88A23}">
      <text>
        <r>
          <rPr>
            <b/>
            <sz val="9"/>
            <color indexed="81"/>
            <rFont val="Tahoma"/>
            <family val="2"/>
          </rPr>
          <t>=IF($C55="","",IFERROR(CIQ($C55,"IQ_EBITDA",N$48,vd,,,curr)*$L$3,""))</t>
        </r>
      </text>
    </comment>
    <comment ref="D56" authorId="0" shapeId="0" xr:uid="{D14CBE8D-9E79-4AD5-BEC3-BFE2D2B2E7C5}">
      <text>
        <r>
          <rPr>
            <b/>
            <sz val="9"/>
            <color indexed="81"/>
            <rFont val="Tahoma"/>
            <family val="2"/>
          </rPr>
          <t>=IF($C56="","",IFERROR(CIQ($C56,"IQ_EBITDA",D$48,vd,,,curr)*$L$3,""))</t>
        </r>
      </text>
    </comment>
    <comment ref="E56" authorId="0" shapeId="0" xr:uid="{1D8F6788-6F78-40F8-9B65-D74EDECCDD3C}">
      <text>
        <r>
          <rPr>
            <b/>
            <sz val="9"/>
            <color indexed="81"/>
            <rFont val="Tahoma"/>
            <family val="2"/>
          </rPr>
          <t>=IF($C56="","",IFERROR(CIQ($C56,"IQ_EBITDA",E$48,vd,,,curr)*$L$3,""))</t>
        </r>
      </text>
    </comment>
    <comment ref="F56" authorId="0" shapeId="0" xr:uid="{3CB83325-38A8-46A6-9639-7A46659481AD}">
      <text>
        <r>
          <rPr>
            <b/>
            <sz val="9"/>
            <color indexed="81"/>
            <rFont val="Tahoma"/>
            <family val="2"/>
          </rPr>
          <t>=IF($C56="","",IFERROR(CIQ($C56,"IQ_EBITDA",F$48,vd,,,curr)*$L$3,""))</t>
        </r>
      </text>
    </comment>
    <comment ref="G56" authorId="0" shapeId="0" xr:uid="{D58F4121-A799-42DA-82BC-AC862BB1B1A5}">
      <text>
        <r>
          <rPr>
            <b/>
            <sz val="9"/>
            <color indexed="81"/>
            <rFont val="Tahoma"/>
            <family val="2"/>
          </rPr>
          <t>=IF($C56="","",IFERROR(CIQ($C56,"IQ_EBITDA",G$48,vd,,,curr)*$L$3,""))</t>
        </r>
      </text>
    </comment>
    <comment ref="H56" authorId="0" shapeId="0" xr:uid="{F25F4AED-A14A-43BE-BF2B-A64AFC234797}">
      <text>
        <r>
          <rPr>
            <b/>
            <sz val="9"/>
            <color indexed="81"/>
            <rFont val="Tahoma"/>
            <family val="2"/>
          </rPr>
          <t>=IF($C56="","",IFERROR(CIQ($C56,"IQ_EBITDA",H$48,vd,,,curr)*$L$3,""))</t>
        </r>
      </text>
    </comment>
    <comment ref="I56" authorId="0" shapeId="0" xr:uid="{C1968DCA-5CBC-4FE7-9718-BAE2B4784487}">
      <text>
        <r>
          <rPr>
            <b/>
            <sz val="9"/>
            <color indexed="81"/>
            <rFont val="Tahoma"/>
            <family val="2"/>
          </rPr>
          <t>=IF($C56="","",IFERROR(CIQ($C56,"IQ_EBITDA",I$48,vd,,,curr)*$L$3,""))</t>
        </r>
      </text>
    </comment>
    <comment ref="J56" authorId="0" shapeId="0" xr:uid="{D9A618C5-CA8A-4A9E-96BD-AEEBE03F5385}">
      <text>
        <r>
          <rPr>
            <b/>
            <sz val="9"/>
            <color indexed="81"/>
            <rFont val="Tahoma"/>
            <family val="2"/>
          </rPr>
          <t>=IF($C56="","",IFERROR(CIQ($C56,"IQ_EBITDA",J$48,vd,,,curr)*$L$3,""))</t>
        </r>
      </text>
    </comment>
    <comment ref="K56" authorId="0" shapeId="0" xr:uid="{48B3672B-B258-401F-A83C-25CDE4259D99}">
      <text>
        <r>
          <rPr>
            <b/>
            <sz val="9"/>
            <color indexed="81"/>
            <rFont val="Tahoma"/>
            <family val="2"/>
          </rPr>
          <t>=IF($C56="","",IFERROR(CIQ($C56,"IQ_EBITDA",K$48,vd,,,curr)*$L$3,""))</t>
        </r>
      </text>
    </comment>
    <comment ref="L56" authorId="0" shapeId="0" xr:uid="{186DD202-9090-4700-96F9-9662A970E68E}">
      <text>
        <r>
          <rPr>
            <b/>
            <sz val="9"/>
            <color indexed="81"/>
            <rFont val="Tahoma"/>
            <family val="2"/>
          </rPr>
          <t>=IF($C56="","",IFERROR(CIQ($C56,"IQ_EBITDA",L$48,vd,,,curr)*$L$3,""))</t>
        </r>
      </text>
    </comment>
    <comment ref="M56" authorId="0" shapeId="0" xr:uid="{CC1BBE96-1291-42A0-9952-851E32F69C6A}">
      <text>
        <r>
          <rPr>
            <b/>
            <sz val="9"/>
            <color indexed="81"/>
            <rFont val="Tahoma"/>
            <family val="2"/>
          </rPr>
          <t>=IF($C56="","",IFERROR(CIQ($C56,"IQ_EBITDA",M$48,vd,,,curr)*$L$3,""))</t>
        </r>
      </text>
    </comment>
    <comment ref="N56" authorId="0" shapeId="0" xr:uid="{8F60C582-4758-47AA-B633-410E136A3211}">
      <text>
        <r>
          <rPr>
            <b/>
            <sz val="9"/>
            <color indexed="81"/>
            <rFont val="Tahoma"/>
            <family val="2"/>
          </rPr>
          <t>=IF($C56="","",IFERROR(CIQ($C56,"IQ_EBITDA",N$48,vd,,,curr)*$L$3,""))</t>
        </r>
      </text>
    </comment>
    <comment ref="D57" authorId="0" shapeId="0" xr:uid="{7646328B-1D1E-4979-9759-70CB00B650EB}">
      <text>
        <r>
          <rPr>
            <b/>
            <sz val="9"/>
            <color indexed="81"/>
            <rFont val="Tahoma"/>
            <family val="2"/>
          </rPr>
          <t>=IF($C57="","",IFERROR(CIQ($C57,"IQ_EBITDA",D$48,vd,,,curr)*$L$3,""))</t>
        </r>
      </text>
    </comment>
    <comment ref="E57" authorId="0" shapeId="0" xr:uid="{1A17FBF1-4AD2-4BDE-B9D6-F1452B392D46}">
      <text>
        <r>
          <rPr>
            <b/>
            <sz val="9"/>
            <color indexed="81"/>
            <rFont val="Tahoma"/>
            <family val="2"/>
          </rPr>
          <t>=IF($C57="","",IFERROR(CIQ($C57,"IQ_EBITDA",E$48,vd,,,curr)*$L$3,""))</t>
        </r>
      </text>
    </comment>
    <comment ref="F57" authorId="0" shapeId="0" xr:uid="{E2F65105-BC92-4D8D-AAFD-59382613082E}">
      <text>
        <r>
          <rPr>
            <b/>
            <sz val="9"/>
            <color indexed="81"/>
            <rFont val="Tahoma"/>
            <family val="2"/>
          </rPr>
          <t>=IF($C57="","",IFERROR(CIQ($C57,"IQ_EBITDA",F$48,vd,,,curr)*$L$3,""))</t>
        </r>
      </text>
    </comment>
    <comment ref="G57" authorId="0" shapeId="0" xr:uid="{E5EC806A-1C59-42E3-99F3-BE576CE5D3CD}">
      <text>
        <r>
          <rPr>
            <b/>
            <sz val="9"/>
            <color indexed="81"/>
            <rFont val="Tahoma"/>
            <family val="2"/>
          </rPr>
          <t>=IF($C57="","",IFERROR(CIQ($C57,"IQ_EBITDA",G$48,vd,,,curr)*$L$3,""))</t>
        </r>
      </text>
    </comment>
    <comment ref="H57" authorId="0" shapeId="0" xr:uid="{934BC999-79E6-432A-9DA6-B254620A24BB}">
      <text>
        <r>
          <rPr>
            <b/>
            <sz val="9"/>
            <color indexed="81"/>
            <rFont val="Tahoma"/>
            <family val="2"/>
          </rPr>
          <t>=IF($C57="","",IFERROR(CIQ($C57,"IQ_EBITDA",H$48,vd,,,curr)*$L$3,""))</t>
        </r>
      </text>
    </comment>
    <comment ref="I57" authorId="0" shapeId="0" xr:uid="{E4C8F300-E657-4330-9382-2952AFED4BFE}">
      <text>
        <r>
          <rPr>
            <b/>
            <sz val="9"/>
            <color indexed="81"/>
            <rFont val="Tahoma"/>
            <family val="2"/>
          </rPr>
          <t>=IF($C57="","",IFERROR(CIQ($C57,"IQ_EBITDA",I$48,vd,,,curr)*$L$3,""))</t>
        </r>
      </text>
    </comment>
    <comment ref="J57" authorId="0" shapeId="0" xr:uid="{B226426B-6C72-44EA-905D-DB0983CDE1DD}">
      <text>
        <r>
          <rPr>
            <b/>
            <sz val="9"/>
            <color indexed="81"/>
            <rFont val="Tahoma"/>
            <family val="2"/>
          </rPr>
          <t>=IF($C57="","",IFERROR(CIQ($C57,"IQ_EBITDA",J$48,vd,,,curr)*$L$3,""))</t>
        </r>
      </text>
    </comment>
    <comment ref="K57" authorId="0" shapeId="0" xr:uid="{287411A0-05F9-426A-A0E0-A32057CF3237}">
      <text>
        <r>
          <rPr>
            <b/>
            <sz val="9"/>
            <color indexed="81"/>
            <rFont val="Tahoma"/>
            <family val="2"/>
          </rPr>
          <t>=IF($C57="","",IFERROR(CIQ($C57,"IQ_EBITDA",K$48,vd,,,curr)*$L$3,""))</t>
        </r>
      </text>
    </comment>
    <comment ref="L57" authorId="0" shapeId="0" xr:uid="{2981C0E1-6ADE-483F-BC0E-8229A6E765C3}">
      <text>
        <r>
          <rPr>
            <b/>
            <sz val="9"/>
            <color indexed="81"/>
            <rFont val="Tahoma"/>
            <family val="2"/>
          </rPr>
          <t>=IF($C57="","",IFERROR(CIQ($C57,"IQ_EBITDA",L$48,vd,,,curr)*$L$3,""))</t>
        </r>
      </text>
    </comment>
    <comment ref="M57" authorId="0" shapeId="0" xr:uid="{56BDAB54-4B3B-41A4-99EC-5BE90ADD0B7E}">
      <text>
        <r>
          <rPr>
            <b/>
            <sz val="9"/>
            <color indexed="81"/>
            <rFont val="Tahoma"/>
            <family val="2"/>
          </rPr>
          <t>=IF($C57="","",IFERROR(CIQ($C57,"IQ_EBITDA",M$48,vd,,,curr)*$L$3,""))</t>
        </r>
      </text>
    </comment>
    <comment ref="N57" authorId="0" shapeId="0" xr:uid="{82EDA3FF-9967-4719-B538-F30F102459E2}">
      <text>
        <r>
          <rPr>
            <b/>
            <sz val="9"/>
            <color indexed="81"/>
            <rFont val="Tahoma"/>
            <family val="2"/>
          </rPr>
          <t>=IF($C57="","",IFERROR(CIQ($C57,"IQ_EBITDA",N$48,vd,,,curr)*$L$3,""))</t>
        </r>
      </text>
    </comment>
    <comment ref="D58" authorId="0" shapeId="0" xr:uid="{AB66F6B7-510C-4FD6-ACD9-B1E6E37E653E}">
      <text>
        <r>
          <rPr>
            <b/>
            <sz val="9"/>
            <color indexed="81"/>
            <rFont val="Tahoma"/>
            <family val="2"/>
          </rPr>
          <t>=IF($C58="","",IFERROR(CIQ($C58,"IQ_EBITDA",D$48,vd,,,curr)*$L$3,""))</t>
        </r>
      </text>
    </comment>
    <comment ref="E58" authorId="0" shapeId="0" xr:uid="{F4CD7DC2-A590-4A5A-B0DB-1FA8B3C97A38}">
      <text>
        <r>
          <rPr>
            <b/>
            <sz val="9"/>
            <color indexed="81"/>
            <rFont val="Tahoma"/>
            <family val="2"/>
          </rPr>
          <t>=IF($C58="","",IFERROR(CIQ($C58,"IQ_EBITDA",E$48,vd,,,curr)*$L$3,""))</t>
        </r>
      </text>
    </comment>
    <comment ref="F58" authorId="0" shapeId="0" xr:uid="{8173F381-3F46-4EC5-B35F-A22E900B1730}">
      <text>
        <r>
          <rPr>
            <b/>
            <sz val="9"/>
            <color indexed="81"/>
            <rFont val="Tahoma"/>
            <family val="2"/>
          </rPr>
          <t>=IF($C58="","",IFERROR(CIQ($C58,"IQ_EBITDA",F$48,vd,,,curr)*$L$3,""))</t>
        </r>
      </text>
    </comment>
    <comment ref="G58" authorId="0" shapeId="0" xr:uid="{F2848207-B51C-4E8F-A871-57FEA02C25E4}">
      <text>
        <r>
          <rPr>
            <b/>
            <sz val="9"/>
            <color indexed="81"/>
            <rFont val="Tahoma"/>
            <family val="2"/>
          </rPr>
          <t>=IF($C58="","",IFERROR(CIQ($C58,"IQ_EBITDA",G$48,vd,,,curr)*$L$3,""))</t>
        </r>
      </text>
    </comment>
    <comment ref="H58" authorId="0" shapeId="0" xr:uid="{4DA13924-6A0A-4E68-ADA0-337AAA0ED0FB}">
      <text>
        <r>
          <rPr>
            <b/>
            <sz val="9"/>
            <color indexed="81"/>
            <rFont val="Tahoma"/>
            <family val="2"/>
          </rPr>
          <t>=IF($C58="","",IFERROR(CIQ($C58,"IQ_EBITDA",H$48,vd,,,curr)*$L$3,""))</t>
        </r>
      </text>
    </comment>
    <comment ref="I58" authorId="0" shapeId="0" xr:uid="{E8DF1F5A-9DF1-4B92-807B-DEEBF97CF89D}">
      <text>
        <r>
          <rPr>
            <b/>
            <sz val="9"/>
            <color indexed="81"/>
            <rFont val="Tahoma"/>
            <family val="2"/>
          </rPr>
          <t>=IF($C58="","",IFERROR(CIQ($C58,"IQ_EBITDA",I$48,vd,,,curr)*$L$3,""))</t>
        </r>
      </text>
    </comment>
    <comment ref="J58" authorId="0" shapeId="0" xr:uid="{235DA747-E6A2-4222-A904-C7CE847D533A}">
      <text>
        <r>
          <rPr>
            <b/>
            <sz val="9"/>
            <color indexed="81"/>
            <rFont val="Tahoma"/>
            <family val="2"/>
          </rPr>
          <t>=IF($C58="","",IFERROR(CIQ($C58,"IQ_EBITDA",J$48,vd,,,curr)*$L$3,""))</t>
        </r>
      </text>
    </comment>
    <comment ref="K58" authorId="0" shapeId="0" xr:uid="{5E8BF0C7-7C48-444B-8FDC-6787B9D4282D}">
      <text>
        <r>
          <rPr>
            <b/>
            <sz val="9"/>
            <color indexed="81"/>
            <rFont val="Tahoma"/>
            <family val="2"/>
          </rPr>
          <t>=IF($C58="","",IFERROR(CIQ($C58,"IQ_EBITDA",K$48,vd,,,curr)*$L$3,""))</t>
        </r>
      </text>
    </comment>
    <comment ref="L58" authorId="0" shapeId="0" xr:uid="{2FD47373-2316-4101-9DAA-EAD9FFC2E0D9}">
      <text>
        <r>
          <rPr>
            <b/>
            <sz val="9"/>
            <color indexed="81"/>
            <rFont val="Tahoma"/>
            <family val="2"/>
          </rPr>
          <t>=IF($C58="","",IFERROR(CIQ($C58,"IQ_EBITDA",L$48,vd,,,curr)*$L$3,""))</t>
        </r>
      </text>
    </comment>
    <comment ref="M58" authorId="0" shapeId="0" xr:uid="{B7C381BC-BA68-48D2-8A8D-C9085F4256F9}">
      <text>
        <r>
          <rPr>
            <b/>
            <sz val="9"/>
            <color indexed="81"/>
            <rFont val="Tahoma"/>
            <family val="2"/>
          </rPr>
          <t>=IF($C58="","",IFERROR(CIQ($C58,"IQ_EBITDA",M$48,vd,,,curr)*$L$3,""))</t>
        </r>
      </text>
    </comment>
    <comment ref="N58" authorId="0" shapeId="0" xr:uid="{13D893E5-18E7-4E74-B06E-13821D4B0755}">
      <text>
        <r>
          <rPr>
            <b/>
            <sz val="9"/>
            <color indexed="81"/>
            <rFont val="Tahoma"/>
            <family val="2"/>
          </rPr>
          <t>=IF($C58="","",IFERROR(CIQ($C58,"IQ_EBITDA",N$48,vd,,,curr)*$L$3,""))</t>
        </r>
      </text>
    </comment>
    <comment ref="D59" authorId="0" shapeId="0" xr:uid="{E6A9FA14-5784-47F6-8E4C-EEA1EF5E2DD2}">
      <text>
        <r>
          <rPr>
            <b/>
            <sz val="9"/>
            <color indexed="81"/>
            <rFont val="Tahoma"/>
            <family val="2"/>
          </rPr>
          <t>=IF($C59="","",IFERROR(CIQ($C59,"IQ_EBITDA",D$48,vd,,,curr)*$L$3,""))</t>
        </r>
      </text>
    </comment>
    <comment ref="E59" authorId="0" shapeId="0" xr:uid="{24747D19-75EA-4FA9-B5D9-5E2AB700DF22}">
      <text>
        <r>
          <rPr>
            <b/>
            <sz val="9"/>
            <color indexed="81"/>
            <rFont val="Tahoma"/>
            <family val="2"/>
          </rPr>
          <t>=IF($C59="","",IFERROR(CIQ($C59,"IQ_EBITDA",E$48,vd,,,curr)*$L$3,""))</t>
        </r>
      </text>
    </comment>
    <comment ref="F59" authorId="0" shapeId="0" xr:uid="{11C8CBF3-EAA1-47D5-A989-8B30843CCF5F}">
      <text>
        <r>
          <rPr>
            <b/>
            <sz val="9"/>
            <color indexed="81"/>
            <rFont val="Tahoma"/>
            <family val="2"/>
          </rPr>
          <t>=IF($C59="","",IFERROR(CIQ($C59,"IQ_EBITDA",F$48,vd,,,curr)*$L$3,""))</t>
        </r>
      </text>
    </comment>
    <comment ref="G59" authorId="0" shapeId="0" xr:uid="{CA0C6E06-B8CC-4BFA-A354-05707003A6CA}">
      <text>
        <r>
          <rPr>
            <b/>
            <sz val="9"/>
            <color indexed="81"/>
            <rFont val="Tahoma"/>
            <family val="2"/>
          </rPr>
          <t>=IF($C59="","",IFERROR(CIQ($C59,"IQ_EBITDA",G$48,vd,,,curr)*$L$3,""))</t>
        </r>
      </text>
    </comment>
    <comment ref="H59" authorId="0" shapeId="0" xr:uid="{3AAFDEB8-D73A-43EB-9518-8391C1081CCD}">
      <text>
        <r>
          <rPr>
            <b/>
            <sz val="9"/>
            <color indexed="81"/>
            <rFont val="Tahoma"/>
            <family val="2"/>
          </rPr>
          <t>=IF($C59="","",IFERROR(CIQ($C59,"IQ_EBITDA",H$48,vd,,,curr)*$L$3,""))</t>
        </r>
      </text>
    </comment>
    <comment ref="I59" authorId="0" shapeId="0" xr:uid="{0FE6F0CD-891F-453C-8B15-6DC121625F1D}">
      <text>
        <r>
          <rPr>
            <b/>
            <sz val="9"/>
            <color indexed="81"/>
            <rFont val="Tahoma"/>
            <family val="2"/>
          </rPr>
          <t>=IF($C59="","",IFERROR(CIQ($C59,"IQ_EBITDA",I$48,vd,,,curr)*$L$3,""))</t>
        </r>
      </text>
    </comment>
    <comment ref="J59" authorId="0" shapeId="0" xr:uid="{483DDFA6-FFD8-47B3-A07C-6D5E32605405}">
      <text>
        <r>
          <rPr>
            <b/>
            <sz val="9"/>
            <color indexed="81"/>
            <rFont val="Tahoma"/>
            <family val="2"/>
          </rPr>
          <t>=IF($C59="","",IFERROR(CIQ($C59,"IQ_EBITDA",J$48,vd,,,curr)*$L$3,""))</t>
        </r>
      </text>
    </comment>
    <comment ref="K59" authorId="0" shapeId="0" xr:uid="{7A6B3097-F2C2-4077-8761-5F9F6ADBCB10}">
      <text>
        <r>
          <rPr>
            <b/>
            <sz val="9"/>
            <color indexed="81"/>
            <rFont val="Tahoma"/>
            <family val="2"/>
          </rPr>
          <t>=IF($C59="","",IFERROR(CIQ($C59,"IQ_EBITDA",K$48,vd,,,curr)*$L$3,""))</t>
        </r>
      </text>
    </comment>
    <comment ref="L59" authorId="0" shapeId="0" xr:uid="{BC1D4B0E-BE2D-48E0-BE44-8904BECBE016}">
      <text>
        <r>
          <rPr>
            <b/>
            <sz val="9"/>
            <color indexed="81"/>
            <rFont val="Tahoma"/>
            <family val="2"/>
          </rPr>
          <t>=IF($C59="","",IFERROR(CIQ($C59,"IQ_EBITDA",L$48,vd,,,curr)*$L$3,""))</t>
        </r>
      </text>
    </comment>
    <comment ref="M59" authorId="0" shapeId="0" xr:uid="{04A1117F-A876-4D52-8B96-182A3411A321}">
      <text>
        <r>
          <rPr>
            <b/>
            <sz val="9"/>
            <color indexed="81"/>
            <rFont val="Tahoma"/>
            <family val="2"/>
          </rPr>
          <t>=IF($C59="","",IFERROR(CIQ($C59,"IQ_EBITDA",M$48,vd,,,curr)*$L$3,""))</t>
        </r>
      </text>
    </comment>
    <comment ref="N59" authorId="0" shapeId="0" xr:uid="{FD1E01E7-0280-484D-819E-114E2BC3A745}">
      <text>
        <r>
          <rPr>
            <b/>
            <sz val="9"/>
            <color indexed="81"/>
            <rFont val="Tahoma"/>
            <family val="2"/>
          </rPr>
          <t>=IF($C59="","",IFERROR(CIQ($C59,"IQ_EBITDA",N$48,vd,,,curr)*$L$3,""))</t>
        </r>
      </text>
    </comment>
    <comment ref="D60" authorId="0" shapeId="0" xr:uid="{24F14275-F27F-4A7C-89ED-4949A0F91073}">
      <text>
        <r>
          <rPr>
            <b/>
            <sz val="9"/>
            <color indexed="81"/>
            <rFont val="Tahoma"/>
            <family val="2"/>
          </rPr>
          <t>=IF($C60="","",IFERROR(CIQ($C60,"IQ_EBITDA",D$48,vd,,,curr)*$L$3,""))</t>
        </r>
      </text>
    </comment>
    <comment ref="E60" authorId="0" shapeId="0" xr:uid="{D341FE99-4820-43D5-8716-42D1FF929126}">
      <text>
        <r>
          <rPr>
            <b/>
            <sz val="9"/>
            <color indexed="81"/>
            <rFont val="Tahoma"/>
            <family val="2"/>
          </rPr>
          <t>=IF($C60="","",IFERROR(CIQ($C60,"IQ_EBITDA",E$48,vd,,,curr)*$L$3,""))</t>
        </r>
      </text>
    </comment>
    <comment ref="F60" authorId="0" shapeId="0" xr:uid="{B5CD69FC-E505-405D-8322-63E55650777C}">
      <text>
        <r>
          <rPr>
            <b/>
            <sz val="9"/>
            <color indexed="81"/>
            <rFont val="Tahoma"/>
            <family val="2"/>
          </rPr>
          <t>=IF($C60="","",IFERROR(CIQ($C60,"IQ_EBITDA",F$48,vd,,,curr)*$L$3,""))</t>
        </r>
      </text>
    </comment>
    <comment ref="G60" authorId="0" shapeId="0" xr:uid="{75ACF4C3-4551-4FCE-8303-58B05C7514D2}">
      <text>
        <r>
          <rPr>
            <b/>
            <sz val="9"/>
            <color indexed="81"/>
            <rFont val="Tahoma"/>
            <family val="2"/>
          </rPr>
          <t>=IF($C60="","",IFERROR(CIQ($C60,"IQ_EBITDA",G$48,vd,,,curr)*$L$3,""))</t>
        </r>
      </text>
    </comment>
    <comment ref="H60" authorId="0" shapeId="0" xr:uid="{7F449E66-AB1B-420E-87DA-E88807B9FB5E}">
      <text>
        <r>
          <rPr>
            <b/>
            <sz val="9"/>
            <color indexed="81"/>
            <rFont val="Tahoma"/>
            <family val="2"/>
          </rPr>
          <t>=IF($C60="","",IFERROR(CIQ($C60,"IQ_EBITDA",H$48,vd,,,curr)*$L$3,""))</t>
        </r>
      </text>
    </comment>
    <comment ref="I60" authorId="0" shapeId="0" xr:uid="{BE225273-1CDC-4680-B0B6-0F3552DCD00E}">
      <text>
        <r>
          <rPr>
            <b/>
            <sz val="9"/>
            <color indexed="81"/>
            <rFont val="Tahoma"/>
            <family val="2"/>
          </rPr>
          <t>=IF($C60="","",IFERROR(CIQ($C60,"IQ_EBITDA",I$48,vd,,,curr)*$L$3,""))</t>
        </r>
      </text>
    </comment>
    <comment ref="J60" authorId="0" shapeId="0" xr:uid="{A73FA2F1-BA11-45B6-B369-040127A0D9E0}">
      <text>
        <r>
          <rPr>
            <b/>
            <sz val="9"/>
            <color indexed="81"/>
            <rFont val="Tahoma"/>
            <family val="2"/>
          </rPr>
          <t>=IF($C60="","",IFERROR(CIQ($C60,"IQ_EBITDA",J$48,vd,,,curr)*$L$3,""))</t>
        </r>
      </text>
    </comment>
    <comment ref="K60" authorId="0" shapeId="0" xr:uid="{BF8D63B4-233F-4D07-AEFE-A281AAFA6DA8}">
      <text>
        <r>
          <rPr>
            <b/>
            <sz val="9"/>
            <color indexed="81"/>
            <rFont val="Tahoma"/>
            <family val="2"/>
          </rPr>
          <t>=IF($C60="","",IFERROR(CIQ($C60,"IQ_EBITDA",K$48,vd,,,curr)*$L$3,""))</t>
        </r>
      </text>
    </comment>
    <comment ref="L60" authorId="0" shapeId="0" xr:uid="{C7EC3647-9960-4780-85EA-696B747611A7}">
      <text>
        <r>
          <rPr>
            <b/>
            <sz val="9"/>
            <color indexed="81"/>
            <rFont val="Tahoma"/>
            <family val="2"/>
          </rPr>
          <t>=IF($C60="","",IFERROR(CIQ($C60,"IQ_EBITDA",L$48,vd,,,curr)*$L$3,""))</t>
        </r>
      </text>
    </comment>
    <comment ref="M60" authorId="0" shapeId="0" xr:uid="{FADC6362-BED9-4CA5-8140-0ADF3FF62FAF}">
      <text>
        <r>
          <rPr>
            <b/>
            <sz val="9"/>
            <color indexed="81"/>
            <rFont val="Tahoma"/>
            <family val="2"/>
          </rPr>
          <t>=IF($C60="","",IFERROR(CIQ($C60,"IQ_EBITDA",M$48,vd,,,curr)*$L$3,""))</t>
        </r>
      </text>
    </comment>
    <comment ref="N60" authorId="0" shapeId="0" xr:uid="{5E3383D1-EE7E-4765-A8D2-78F901DF43C8}">
      <text>
        <r>
          <rPr>
            <b/>
            <sz val="9"/>
            <color indexed="81"/>
            <rFont val="Tahoma"/>
            <family val="2"/>
          </rPr>
          <t>=IF($C60="","",IFERROR(CIQ($C60,"IQ_EBITDA",N$48,vd,,,curr)*$L$3,""))</t>
        </r>
      </text>
    </comment>
    <comment ref="D61" authorId="0" shapeId="0" xr:uid="{6FE991EA-510A-487F-B4F1-BCA86535A7E4}">
      <text>
        <r>
          <rPr>
            <b/>
            <sz val="9"/>
            <color indexed="81"/>
            <rFont val="Tahoma"/>
            <family val="2"/>
          </rPr>
          <t>=IF($C61="","",IFERROR(CIQ($C61,"IQ_EBITDA",D$48,vd,,,curr)*$L$3,""))</t>
        </r>
      </text>
    </comment>
    <comment ref="E61" authorId="0" shapeId="0" xr:uid="{51E49EAE-D534-4FD1-A959-A80353D6EAD6}">
      <text>
        <r>
          <rPr>
            <b/>
            <sz val="9"/>
            <color indexed="81"/>
            <rFont val="Tahoma"/>
            <family val="2"/>
          </rPr>
          <t>=IF($C61="","",IFERROR(CIQ($C61,"IQ_EBITDA",E$48,vd,,,curr)*$L$3,""))</t>
        </r>
      </text>
    </comment>
    <comment ref="F61" authorId="0" shapeId="0" xr:uid="{8E66E93F-66B5-4594-946B-9A0826E727BB}">
      <text>
        <r>
          <rPr>
            <b/>
            <sz val="9"/>
            <color indexed="81"/>
            <rFont val="Tahoma"/>
            <family val="2"/>
          </rPr>
          <t>=IF($C61="","",IFERROR(CIQ($C61,"IQ_EBITDA",F$48,vd,,,curr)*$L$3,""))</t>
        </r>
      </text>
    </comment>
    <comment ref="G61" authorId="0" shapeId="0" xr:uid="{B4531009-A3C6-47AB-A96A-C40B9A4D20FC}">
      <text>
        <r>
          <rPr>
            <b/>
            <sz val="9"/>
            <color indexed="81"/>
            <rFont val="Tahoma"/>
            <family val="2"/>
          </rPr>
          <t>=IF($C61="","",IFERROR(CIQ($C61,"IQ_EBITDA",G$48,vd,,,curr)*$L$3,""))</t>
        </r>
      </text>
    </comment>
    <comment ref="H61" authorId="0" shapeId="0" xr:uid="{436D268B-41BC-435E-9915-0B9873C5FD8E}">
      <text>
        <r>
          <rPr>
            <b/>
            <sz val="9"/>
            <color indexed="81"/>
            <rFont val="Tahoma"/>
            <family val="2"/>
          </rPr>
          <t>=IF($C61="","",IFERROR(CIQ($C61,"IQ_EBITDA",H$48,vd,,,curr)*$L$3,""))</t>
        </r>
      </text>
    </comment>
    <comment ref="I61" authorId="0" shapeId="0" xr:uid="{1A1FACC5-1D4E-4FBC-B41F-F58CDB16A497}">
      <text>
        <r>
          <rPr>
            <b/>
            <sz val="9"/>
            <color indexed="81"/>
            <rFont val="Tahoma"/>
            <family val="2"/>
          </rPr>
          <t>=IF($C61="","",IFERROR(CIQ($C61,"IQ_EBITDA",I$48,vd,,,curr)*$L$3,""))</t>
        </r>
      </text>
    </comment>
    <comment ref="J61" authorId="0" shapeId="0" xr:uid="{046FCE0F-7BFA-41CF-8FB3-D1BA8EE288E7}">
      <text>
        <r>
          <rPr>
            <b/>
            <sz val="9"/>
            <color indexed="81"/>
            <rFont val="Tahoma"/>
            <family val="2"/>
          </rPr>
          <t>=IF($C61="","",IFERROR(CIQ($C61,"IQ_EBITDA",J$48,vd,,,curr)*$L$3,""))</t>
        </r>
      </text>
    </comment>
    <comment ref="K61" authorId="0" shapeId="0" xr:uid="{2605C2A5-09C5-44A4-A7B4-D7DCE8424310}">
      <text>
        <r>
          <rPr>
            <b/>
            <sz val="9"/>
            <color indexed="81"/>
            <rFont val="Tahoma"/>
            <family val="2"/>
          </rPr>
          <t>=IF($C61="","",IFERROR(CIQ($C61,"IQ_EBITDA",K$48,vd,,,curr)*$L$3,""))</t>
        </r>
      </text>
    </comment>
    <comment ref="L61" authorId="0" shapeId="0" xr:uid="{0AA69C7A-D8E9-4F1C-B459-0647E7F92F30}">
      <text>
        <r>
          <rPr>
            <b/>
            <sz val="9"/>
            <color indexed="81"/>
            <rFont val="Tahoma"/>
            <family val="2"/>
          </rPr>
          <t>=IF($C61="","",IFERROR(CIQ($C61,"IQ_EBITDA",L$48,vd,,,curr)*$L$3,""))</t>
        </r>
      </text>
    </comment>
    <comment ref="M61" authorId="0" shapeId="0" xr:uid="{62372A66-42BF-4810-93B9-40D7A8F9EFFA}">
      <text>
        <r>
          <rPr>
            <b/>
            <sz val="9"/>
            <color indexed="81"/>
            <rFont val="Tahoma"/>
            <family val="2"/>
          </rPr>
          <t>=IF($C61="","",IFERROR(CIQ($C61,"IQ_EBITDA",M$48,vd,,,curr)*$L$3,""))</t>
        </r>
      </text>
    </comment>
    <comment ref="N61" authorId="0" shapeId="0" xr:uid="{87B2F1F3-97DC-4342-B09F-E5A2C3899B0F}">
      <text>
        <r>
          <rPr>
            <b/>
            <sz val="9"/>
            <color indexed="81"/>
            <rFont val="Tahoma"/>
            <family val="2"/>
          </rPr>
          <t>=IF($C61="","",IFERROR(CIQ($C61,"IQ_EBITDA",N$48,vd,,,curr)*$L$3,""))</t>
        </r>
      </text>
    </comment>
    <comment ref="D62" authorId="0" shapeId="0" xr:uid="{C8853928-8CBA-4245-A9EC-C2F9FE8374BC}">
      <text>
        <r>
          <rPr>
            <b/>
            <sz val="9"/>
            <color indexed="81"/>
            <rFont val="Tahoma"/>
            <family val="2"/>
          </rPr>
          <t>=IF($C62="","",IFERROR(CIQ($C62,"IQ_EBITDA",D$48,vd,,,curr)*$L$3,""))</t>
        </r>
      </text>
    </comment>
    <comment ref="E62" authorId="0" shapeId="0" xr:uid="{A476A85E-C7E9-495E-9538-DAD281CCF175}">
      <text>
        <r>
          <rPr>
            <b/>
            <sz val="9"/>
            <color indexed="81"/>
            <rFont val="Tahoma"/>
            <family val="2"/>
          </rPr>
          <t>=IF($C62="","",IFERROR(CIQ($C62,"IQ_EBITDA",E$48,vd,,,curr)*$L$3,""))</t>
        </r>
      </text>
    </comment>
    <comment ref="F62" authorId="0" shapeId="0" xr:uid="{25CFB198-8817-451F-9710-1C4D6BC57030}">
      <text>
        <r>
          <rPr>
            <b/>
            <sz val="9"/>
            <color indexed="81"/>
            <rFont val="Tahoma"/>
            <family val="2"/>
          </rPr>
          <t>=IF($C62="","",IFERROR(CIQ($C62,"IQ_EBITDA",F$48,vd,,,curr)*$L$3,""))</t>
        </r>
      </text>
    </comment>
    <comment ref="G62" authorId="0" shapeId="0" xr:uid="{B44EE5B7-447A-4A4D-921A-F8DDFED9B9E9}">
      <text>
        <r>
          <rPr>
            <b/>
            <sz val="9"/>
            <color indexed="81"/>
            <rFont val="Tahoma"/>
            <family val="2"/>
          </rPr>
          <t>=IF($C62="","",IFERROR(CIQ($C62,"IQ_EBITDA",G$48,vd,,,curr)*$L$3,""))</t>
        </r>
      </text>
    </comment>
    <comment ref="H62" authorId="0" shapeId="0" xr:uid="{7E8A81E3-4F94-4F82-8875-0337A9A0C37E}">
      <text>
        <r>
          <rPr>
            <b/>
            <sz val="9"/>
            <color indexed="81"/>
            <rFont val="Tahoma"/>
            <family val="2"/>
          </rPr>
          <t>=IF($C62="","",IFERROR(CIQ($C62,"IQ_EBITDA",H$48,vd,,,curr)*$L$3,""))</t>
        </r>
      </text>
    </comment>
    <comment ref="I62" authorId="0" shapeId="0" xr:uid="{4B5A7EC5-2D7C-4616-AEAF-1FBB19C42FCF}">
      <text>
        <r>
          <rPr>
            <b/>
            <sz val="9"/>
            <color indexed="81"/>
            <rFont val="Tahoma"/>
            <family val="2"/>
          </rPr>
          <t>=IF($C62="","",IFERROR(CIQ($C62,"IQ_EBITDA",I$48,vd,,,curr)*$L$3,""))</t>
        </r>
      </text>
    </comment>
    <comment ref="J62" authorId="0" shapeId="0" xr:uid="{DE7BACEA-6624-4AD8-B05E-493E71998595}">
      <text>
        <r>
          <rPr>
            <b/>
            <sz val="9"/>
            <color indexed="81"/>
            <rFont val="Tahoma"/>
            <family val="2"/>
          </rPr>
          <t>=IF($C62="","",IFERROR(CIQ($C62,"IQ_EBITDA",J$48,vd,,,curr)*$L$3,""))</t>
        </r>
      </text>
    </comment>
    <comment ref="K62" authorId="0" shapeId="0" xr:uid="{02D9B10F-060C-45F9-A159-E2B6CB09B0B0}">
      <text>
        <r>
          <rPr>
            <b/>
            <sz val="9"/>
            <color indexed="81"/>
            <rFont val="Tahoma"/>
            <family val="2"/>
          </rPr>
          <t>=IF($C62="","",IFERROR(CIQ($C62,"IQ_EBITDA",K$48,vd,,,curr)*$L$3,""))</t>
        </r>
      </text>
    </comment>
    <comment ref="L62" authorId="0" shapeId="0" xr:uid="{1BFFBFA1-801B-442B-AD8E-51EB3BE18AE2}">
      <text>
        <r>
          <rPr>
            <b/>
            <sz val="9"/>
            <color indexed="81"/>
            <rFont val="Tahoma"/>
            <family val="2"/>
          </rPr>
          <t>=IF($C62="","",IFERROR(CIQ($C62,"IQ_EBITDA",L$48,vd,,,curr)*$L$3,""))</t>
        </r>
      </text>
    </comment>
    <comment ref="M62" authorId="0" shapeId="0" xr:uid="{80022D97-EA21-410D-8A95-0857D1558BAA}">
      <text>
        <r>
          <rPr>
            <b/>
            <sz val="9"/>
            <color indexed="81"/>
            <rFont val="Tahoma"/>
            <family val="2"/>
          </rPr>
          <t>=IF($C62="","",IFERROR(CIQ($C62,"IQ_EBITDA",M$48,vd,,,curr)*$L$3,""))</t>
        </r>
      </text>
    </comment>
    <comment ref="N62" authorId="0" shapeId="0" xr:uid="{371FAFA8-E6B0-4D0D-84B0-8036E9D0A064}">
      <text>
        <r>
          <rPr>
            <b/>
            <sz val="9"/>
            <color indexed="81"/>
            <rFont val="Tahoma"/>
            <family val="2"/>
          </rPr>
          <t>=IF($C62="","",IFERROR(CIQ($C62,"IQ_EBITDA",N$48,vd,,,curr)*$L$3,""))</t>
        </r>
      </text>
    </comment>
    <comment ref="D63" authorId="0" shapeId="0" xr:uid="{1B8C8903-7B8C-4C49-9E4E-65050AA54B0C}">
      <text>
        <r>
          <rPr>
            <b/>
            <sz val="9"/>
            <color indexed="81"/>
            <rFont val="Tahoma"/>
            <family val="2"/>
          </rPr>
          <t>=IF($C63="","",IFERROR(CIQ($C63,"IQ_EBITDA",D$48,vd,,,curr)*$L$3,""))</t>
        </r>
      </text>
    </comment>
    <comment ref="E63" authorId="0" shapeId="0" xr:uid="{EFC0CAEE-98CC-40C7-8EE6-5ED0847BF237}">
      <text>
        <r>
          <rPr>
            <b/>
            <sz val="9"/>
            <color indexed="81"/>
            <rFont val="Tahoma"/>
            <family val="2"/>
          </rPr>
          <t>=IF($C63="","",IFERROR(CIQ($C63,"IQ_EBITDA",E$48,vd,,,curr)*$L$3,""))</t>
        </r>
      </text>
    </comment>
    <comment ref="F63" authorId="0" shapeId="0" xr:uid="{802A128E-38B7-435B-887F-A85026D52BEA}">
      <text>
        <r>
          <rPr>
            <b/>
            <sz val="9"/>
            <color indexed="81"/>
            <rFont val="Tahoma"/>
            <family val="2"/>
          </rPr>
          <t>=IF($C63="","",IFERROR(CIQ($C63,"IQ_EBITDA",F$48,vd,,,curr)*$L$3,""))</t>
        </r>
      </text>
    </comment>
    <comment ref="G63" authorId="0" shapeId="0" xr:uid="{0B9B4111-CB53-4F24-8246-D12F9224AC5F}">
      <text>
        <r>
          <rPr>
            <b/>
            <sz val="9"/>
            <color indexed="81"/>
            <rFont val="Tahoma"/>
            <family val="2"/>
          </rPr>
          <t>=IF($C63="","",IFERROR(CIQ($C63,"IQ_EBITDA",G$48,vd,,,curr)*$L$3,""))</t>
        </r>
      </text>
    </comment>
    <comment ref="H63" authorId="0" shapeId="0" xr:uid="{CC2FFDDA-9B4A-4590-85A8-F1461929C2D0}">
      <text>
        <r>
          <rPr>
            <b/>
            <sz val="9"/>
            <color indexed="81"/>
            <rFont val="Tahoma"/>
            <family val="2"/>
          </rPr>
          <t>=IF($C63="","",IFERROR(CIQ($C63,"IQ_EBITDA",H$48,vd,,,curr)*$L$3,""))</t>
        </r>
      </text>
    </comment>
    <comment ref="I63" authorId="0" shapeId="0" xr:uid="{51FBC1B3-1C62-406C-AC82-085FAC78D797}">
      <text>
        <r>
          <rPr>
            <b/>
            <sz val="9"/>
            <color indexed="81"/>
            <rFont val="Tahoma"/>
            <family val="2"/>
          </rPr>
          <t>=IF($C63="","",IFERROR(CIQ($C63,"IQ_EBITDA",I$48,vd,,,curr)*$L$3,""))</t>
        </r>
      </text>
    </comment>
    <comment ref="J63" authorId="0" shapeId="0" xr:uid="{263043D0-EE3D-43E2-A282-C42815753B49}">
      <text>
        <r>
          <rPr>
            <b/>
            <sz val="9"/>
            <color indexed="81"/>
            <rFont val="Tahoma"/>
            <family val="2"/>
          </rPr>
          <t>=IF($C63="","",IFERROR(CIQ($C63,"IQ_EBITDA",J$48,vd,,,curr)*$L$3,""))</t>
        </r>
      </text>
    </comment>
    <comment ref="K63" authorId="0" shapeId="0" xr:uid="{929B4F62-E749-47B6-86BD-214A153A9616}">
      <text>
        <r>
          <rPr>
            <b/>
            <sz val="9"/>
            <color indexed="81"/>
            <rFont val="Tahoma"/>
            <family val="2"/>
          </rPr>
          <t>=IF($C63="","",IFERROR(CIQ($C63,"IQ_EBITDA",K$48,vd,,,curr)*$L$3,""))</t>
        </r>
      </text>
    </comment>
    <comment ref="L63" authorId="0" shapeId="0" xr:uid="{6FAAC2BA-61D5-4488-8DA3-45779D2CD86E}">
      <text>
        <r>
          <rPr>
            <b/>
            <sz val="9"/>
            <color indexed="81"/>
            <rFont val="Tahoma"/>
            <family val="2"/>
          </rPr>
          <t>=IF($C63="","",IFERROR(CIQ($C63,"IQ_EBITDA",L$48,vd,,,curr)*$L$3,""))</t>
        </r>
      </text>
    </comment>
    <comment ref="M63" authorId="0" shapeId="0" xr:uid="{335FAE45-E163-400B-BF40-D310528FDD41}">
      <text>
        <r>
          <rPr>
            <b/>
            <sz val="9"/>
            <color indexed="81"/>
            <rFont val="Tahoma"/>
            <family val="2"/>
          </rPr>
          <t>=IF($C63="","",IFERROR(CIQ($C63,"IQ_EBITDA",M$48,vd,,,curr)*$L$3,""))</t>
        </r>
      </text>
    </comment>
    <comment ref="N63" authorId="0" shapeId="0" xr:uid="{172B8EAE-9919-484B-B99F-4FF31F0C79E5}">
      <text>
        <r>
          <rPr>
            <b/>
            <sz val="9"/>
            <color indexed="81"/>
            <rFont val="Tahoma"/>
            <family val="2"/>
          </rPr>
          <t>=IF($C63="","",IFERROR(CIQ($C63,"IQ_EBITDA",N$48,vd,,,curr)*$L$3,""))</t>
        </r>
      </text>
    </comment>
    <comment ref="D69" authorId="0" shapeId="0" xr:uid="{C4A586F1-362F-478F-90B4-F043A8E47ECE}">
      <text>
        <r>
          <rPr>
            <b/>
            <sz val="9"/>
            <color indexed="81"/>
            <rFont val="Tahoma"/>
            <family val="2"/>
          </rPr>
          <t>=IF($C69="","",IFERROR(CIQ($C69,"IQ_EBIT",D$68,vd,,,curr)*$L$3,""))</t>
        </r>
      </text>
    </comment>
    <comment ref="E69" authorId="0" shapeId="0" xr:uid="{0ED7552A-FA7C-488F-85D5-0EFC28F0D5AF}">
      <text>
        <r>
          <rPr>
            <b/>
            <sz val="9"/>
            <color indexed="81"/>
            <rFont val="Tahoma"/>
            <family val="2"/>
          </rPr>
          <t>=IF($C69="","",IFERROR(CIQ($C69,"IQ_EBIT",E$68,vd,,,curr)*$L$3,""))</t>
        </r>
      </text>
    </comment>
    <comment ref="F69" authorId="0" shapeId="0" xr:uid="{1C0EC93F-B0C3-4939-B3E3-6AB205F43C1C}">
      <text>
        <r>
          <rPr>
            <b/>
            <sz val="9"/>
            <color indexed="81"/>
            <rFont val="Tahoma"/>
            <family val="2"/>
          </rPr>
          <t>=IF($C69="","",IFERROR(CIQ($C69,"IQ_EBIT",F$68,vd,,,curr)*$L$3,""))</t>
        </r>
      </text>
    </comment>
    <comment ref="G69" authorId="0" shapeId="0" xr:uid="{4D94FFED-4ABE-422B-9AA1-451C056DD3BD}">
      <text>
        <r>
          <rPr>
            <b/>
            <sz val="9"/>
            <color indexed="81"/>
            <rFont val="Tahoma"/>
            <family val="2"/>
          </rPr>
          <t>=IF($C69="","",IFERROR(CIQ($C69,"IQ_EBIT",G$68,vd,,,curr)*$L$3,""))</t>
        </r>
      </text>
    </comment>
    <comment ref="H69" authorId="0" shapeId="0" xr:uid="{8139311B-1FE1-4EC3-AB62-109E219092B7}">
      <text>
        <r>
          <rPr>
            <b/>
            <sz val="9"/>
            <color indexed="81"/>
            <rFont val="Tahoma"/>
            <family val="2"/>
          </rPr>
          <t>=IF($C69="","",IFERROR(CIQ($C69,"IQ_EBIT",H$68,vd,,,curr)*$L$3,""))</t>
        </r>
      </text>
    </comment>
    <comment ref="I69" authorId="0" shapeId="0" xr:uid="{CCC01783-F2E5-4AC2-B18C-9FA7423C060F}">
      <text>
        <r>
          <rPr>
            <b/>
            <sz val="9"/>
            <color indexed="81"/>
            <rFont val="Tahoma"/>
            <family val="2"/>
          </rPr>
          <t>=IF($C69="","",IFERROR(CIQ($C69,"IQ_EBIT",I$68,vd,,,curr)*$L$3,""))</t>
        </r>
      </text>
    </comment>
    <comment ref="J69" authorId="0" shapeId="0" xr:uid="{E34C9086-FAB2-4421-A4C3-72EB84FF379B}">
      <text>
        <r>
          <rPr>
            <b/>
            <sz val="9"/>
            <color indexed="81"/>
            <rFont val="Tahoma"/>
            <family val="2"/>
          </rPr>
          <t>=IF($C69="","",IFERROR(CIQ($C69,"IQ_EBIT",J$68,vd,,,curr)*$L$3,""))</t>
        </r>
      </text>
    </comment>
    <comment ref="K69" authorId="0" shapeId="0" xr:uid="{AAD8AF52-87E3-4342-8765-AC84A169F1A1}">
      <text>
        <r>
          <rPr>
            <b/>
            <sz val="9"/>
            <color indexed="81"/>
            <rFont val="Tahoma"/>
            <family val="2"/>
          </rPr>
          <t>=IF($C69="","",IFERROR(CIQ($C69,"IQ_EBIT",K$68,vd,,,curr)*$L$3,""))</t>
        </r>
      </text>
    </comment>
    <comment ref="L69" authorId="0" shapeId="0" xr:uid="{31F8EE2B-2702-4188-BB22-C5AC5DC57E7E}">
      <text>
        <r>
          <rPr>
            <b/>
            <sz val="9"/>
            <color indexed="81"/>
            <rFont val="Tahoma"/>
            <family val="2"/>
          </rPr>
          <t>=IF($C69="","",IFERROR(CIQ($C69,"IQ_EBIT",L$68,vd,,,curr)*$L$3,""))</t>
        </r>
      </text>
    </comment>
    <comment ref="M69" authorId="0" shapeId="0" xr:uid="{67194433-F5BA-4D01-9E0F-CA139ECD3629}">
      <text>
        <r>
          <rPr>
            <b/>
            <sz val="9"/>
            <color indexed="81"/>
            <rFont val="Tahoma"/>
            <family val="2"/>
          </rPr>
          <t>=IF($C69="","",IFERROR(CIQ($C69,"IQ_EBIT",M$68,vd,,,curr)*$L$3,""))</t>
        </r>
      </text>
    </comment>
    <comment ref="N69" authorId="0" shapeId="0" xr:uid="{3977DC31-A2B8-463B-B7D3-CB2937CBFEED}">
      <text>
        <r>
          <rPr>
            <b/>
            <sz val="9"/>
            <color indexed="81"/>
            <rFont val="Tahoma"/>
            <family val="2"/>
          </rPr>
          <t>=IF($C69="","",IFERROR(CIQ($C69,"IQ_EBIT",N$68,vd,,,curr)*$L$3,""))</t>
        </r>
      </text>
    </comment>
    <comment ref="D70" authorId="0" shapeId="0" xr:uid="{CA4762F8-3FE4-4720-BE87-981736F5B7A6}">
      <text>
        <r>
          <rPr>
            <b/>
            <sz val="9"/>
            <color indexed="81"/>
            <rFont val="Tahoma"/>
            <family val="2"/>
          </rPr>
          <t>=IF($C70="","",IFERROR(CIQ($C70,"IQ_EBIT",D$68,vd,,,curr)*$L$3,""))</t>
        </r>
      </text>
    </comment>
    <comment ref="E70" authorId="0" shapeId="0" xr:uid="{5E6A1CB6-1836-4B36-BAB2-099B79C44080}">
      <text>
        <r>
          <rPr>
            <b/>
            <sz val="9"/>
            <color indexed="81"/>
            <rFont val="Tahoma"/>
            <family val="2"/>
          </rPr>
          <t>=IF($C70="","",IFERROR(CIQ($C70,"IQ_EBIT",E$68,vd,,,curr)*$L$3,""))</t>
        </r>
      </text>
    </comment>
    <comment ref="F70" authorId="0" shapeId="0" xr:uid="{6E8642C8-73A9-4F45-A8B6-80BA63D2AB3B}">
      <text>
        <r>
          <rPr>
            <b/>
            <sz val="9"/>
            <color indexed="81"/>
            <rFont val="Tahoma"/>
            <family val="2"/>
          </rPr>
          <t>=IF($C70="","",IFERROR(CIQ($C70,"IQ_EBIT",F$68,vd,,,curr)*$L$3,""))</t>
        </r>
      </text>
    </comment>
    <comment ref="G70" authorId="0" shapeId="0" xr:uid="{7CAC93AE-E767-4E6E-ADDD-7F62376B728A}">
      <text>
        <r>
          <rPr>
            <b/>
            <sz val="9"/>
            <color indexed="81"/>
            <rFont val="Tahoma"/>
            <family val="2"/>
          </rPr>
          <t>=IF($C70="","",IFERROR(CIQ($C70,"IQ_EBIT",G$68,vd,,,curr)*$L$3,""))</t>
        </r>
      </text>
    </comment>
    <comment ref="H70" authorId="0" shapeId="0" xr:uid="{DC16E9A6-BA1C-4B4B-AC1B-35273018AEB7}">
      <text>
        <r>
          <rPr>
            <b/>
            <sz val="9"/>
            <color indexed="81"/>
            <rFont val="Tahoma"/>
            <family val="2"/>
          </rPr>
          <t>=IF($C70="","",IFERROR(CIQ($C70,"IQ_EBIT",H$68,vd,,,curr)*$L$3,""))</t>
        </r>
      </text>
    </comment>
    <comment ref="I70" authorId="0" shapeId="0" xr:uid="{FDEB95A9-94AF-4057-BD6C-D1B559D28C1C}">
      <text>
        <r>
          <rPr>
            <b/>
            <sz val="9"/>
            <color indexed="81"/>
            <rFont val="Tahoma"/>
            <family val="2"/>
          </rPr>
          <t>=IF($C70="","",IFERROR(CIQ($C70,"IQ_EBIT",I$68,vd,,,curr)*$L$3,""))</t>
        </r>
      </text>
    </comment>
    <comment ref="J70" authorId="0" shapeId="0" xr:uid="{86B30739-8FEE-4C12-8E01-1E42EB09C125}">
      <text>
        <r>
          <rPr>
            <b/>
            <sz val="9"/>
            <color indexed="81"/>
            <rFont val="Tahoma"/>
            <family val="2"/>
          </rPr>
          <t>=IF($C70="","",IFERROR(CIQ($C70,"IQ_EBIT",J$68,vd,,,curr)*$L$3,""))</t>
        </r>
      </text>
    </comment>
    <comment ref="K70" authorId="0" shapeId="0" xr:uid="{91283653-CB55-4258-BA30-EED86CF3BD01}">
      <text>
        <r>
          <rPr>
            <b/>
            <sz val="9"/>
            <color indexed="81"/>
            <rFont val="Tahoma"/>
            <family val="2"/>
          </rPr>
          <t>=IF($C70="","",IFERROR(CIQ($C70,"IQ_EBIT",K$68,vd,,,curr)*$L$3,""))</t>
        </r>
      </text>
    </comment>
    <comment ref="L70" authorId="0" shapeId="0" xr:uid="{1E90F2E8-3736-4E8C-B0FF-BC79A00CD65E}">
      <text>
        <r>
          <rPr>
            <b/>
            <sz val="9"/>
            <color indexed="81"/>
            <rFont val="Tahoma"/>
            <family val="2"/>
          </rPr>
          <t>=IF($C70="","",IFERROR(CIQ($C70,"IQ_EBIT",L$68,vd,,,curr)*$L$3,""))</t>
        </r>
      </text>
    </comment>
    <comment ref="M70" authorId="0" shapeId="0" xr:uid="{876AA4A7-0575-40C3-B953-57157BB496EF}">
      <text>
        <r>
          <rPr>
            <b/>
            <sz val="9"/>
            <color indexed="81"/>
            <rFont val="Tahoma"/>
            <family val="2"/>
          </rPr>
          <t>=IF($C70="","",IFERROR(CIQ($C70,"IQ_EBIT",M$68,vd,,,curr)*$L$3,""))</t>
        </r>
      </text>
    </comment>
    <comment ref="N70" authorId="0" shapeId="0" xr:uid="{28318C87-BC05-4622-BA16-FB5D84F8E70A}">
      <text>
        <r>
          <rPr>
            <b/>
            <sz val="9"/>
            <color indexed="81"/>
            <rFont val="Tahoma"/>
            <family val="2"/>
          </rPr>
          <t>=IF($C70="","",IFERROR(CIQ($C70,"IQ_EBIT",N$68,vd,,,curr)*$L$3,""))</t>
        </r>
      </text>
    </comment>
    <comment ref="D71" authorId="0" shapeId="0" xr:uid="{9FB6D963-6F05-4975-BE98-24F424B8F0D3}">
      <text>
        <r>
          <rPr>
            <b/>
            <sz val="9"/>
            <color indexed="81"/>
            <rFont val="Tahoma"/>
            <family val="2"/>
          </rPr>
          <t>=IF($C71="","",IFERROR(CIQ($C71,"IQ_EBIT",D$68,vd,,,curr)*$L$3,""))</t>
        </r>
      </text>
    </comment>
    <comment ref="E71" authorId="0" shapeId="0" xr:uid="{99E9033F-4E64-4651-8F23-3A1955F6D64A}">
      <text>
        <r>
          <rPr>
            <b/>
            <sz val="9"/>
            <color indexed="81"/>
            <rFont val="Tahoma"/>
            <family val="2"/>
          </rPr>
          <t>=IF($C71="","",IFERROR(CIQ($C71,"IQ_EBIT",E$68,vd,,,curr)*$L$3,""))</t>
        </r>
      </text>
    </comment>
    <comment ref="F71" authorId="0" shapeId="0" xr:uid="{9457446D-6B8A-4E4E-8793-6E74EA6A6D08}">
      <text>
        <r>
          <rPr>
            <b/>
            <sz val="9"/>
            <color indexed="81"/>
            <rFont val="Tahoma"/>
            <family val="2"/>
          </rPr>
          <t>=IF($C71="","",IFERROR(CIQ($C71,"IQ_EBIT",F$68,vd,,,curr)*$L$3,""))</t>
        </r>
      </text>
    </comment>
    <comment ref="G71" authorId="0" shapeId="0" xr:uid="{4C2A977F-85F7-416D-97DC-C6FC79AD57BE}">
      <text>
        <r>
          <rPr>
            <b/>
            <sz val="9"/>
            <color indexed="81"/>
            <rFont val="Tahoma"/>
            <family val="2"/>
          </rPr>
          <t>=IF($C71="","",IFERROR(CIQ($C71,"IQ_EBIT",G$68,vd,,,curr)*$L$3,""))</t>
        </r>
      </text>
    </comment>
    <comment ref="H71" authorId="0" shapeId="0" xr:uid="{A033F943-B199-4969-9111-572197C0EA7D}">
      <text>
        <r>
          <rPr>
            <b/>
            <sz val="9"/>
            <color indexed="81"/>
            <rFont val="Tahoma"/>
            <family val="2"/>
          </rPr>
          <t>=IF($C71="","",IFERROR(CIQ($C71,"IQ_EBIT",H$68,vd,,,curr)*$L$3,""))</t>
        </r>
      </text>
    </comment>
    <comment ref="I71" authorId="0" shapeId="0" xr:uid="{E104B2D9-5CF0-479D-B6B8-C945996BB3E0}">
      <text>
        <r>
          <rPr>
            <b/>
            <sz val="9"/>
            <color indexed="81"/>
            <rFont val="Tahoma"/>
            <family val="2"/>
          </rPr>
          <t>=IF($C71="","",IFERROR(CIQ($C71,"IQ_EBIT",I$68,vd,,,curr)*$L$3,""))</t>
        </r>
      </text>
    </comment>
    <comment ref="J71" authorId="0" shapeId="0" xr:uid="{5812D401-AFCD-4716-BBB7-0AC43F4D7037}">
      <text>
        <r>
          <rPr>
            <b/>
            <sz val="9"/>
            <color indexed="81"/>
            <rFont val="Tahoma"/>
            <family val="2"/>
          </rPr>
          <t>=IF($C71="","",IFERROR(CIQ($C71,"IQ_EBIT",J$68,vd,,,curr)*$L$3,""))</t>
        </r>
      </text>
    </comment>
    <comment ref="K71" authorId="0" shapeId="0" xr:uid="{E09F1EBC-4AE5-472C-B76A-419E673F363C}">
      <text>
        <r>
          <rPr>
            <b/>
            <sz val="9"/>
            <color indexed="81"/>
            <rFont val="Tahoma"/>
            <family val="2"/>
          </rPr>
          <t>=IF($C71="","",IFERROR(CIQ($C71,"IQ_EBIT",K$68,vd,,,curr)*$L$3,""))</t>
        </r>
      </text>
    </comment>
    <comment ref="L71" authorId="0" shapeId="0" xr:uid="{56D71B59-4425-459B-8DE2-3635D4509C20}">
      <text>
        <r>
          <rPr>
            <b/>
            <sz val="9"/>
            <color indexed="81"/>
            <rFont val="Tahoma"/>
            <family val="2"/>
          </rPr>
          <t>=IF($C71="","",IFERROR(CIQ($C71,"IQ_EBIT",L$68,vd,,,curr)*$L$3,""))</t>
        </r>
      </text>
    </comment>
    <comment ref="M71" authorId="0" shapeId="0" xr:uid="{5BDD16CE-502E-4050-905E-21851AE1A999}">
      <text>
        <r>
          <rPr>
            <b/>
            <sz val="9"/>
            <color indexed="81"/>
            <rFont val="Tahoma"/>
            <family val="2"/>
          </rPr>
          <t>=IF($C71="","",IFERROR(CIQ($C71,"IQ_EBIT",M$68,vd,,,curr)*$L$3,""))</t>
        </r>
      </text>
    </comment>
    <comment ref="N71" authorId="0" shapeId="0" xr:uid="{805490BB-E3F7-483E-8F4B-361CD6A3E324}">
      <text>
        <r>
          <rPr>
            <b/>
            <sz val="9"/>
            <color indexed="81"/>
            <rFont val="Tahoma"/>
            <family val="2"/>
          </rPr>
          <t>=IF($C71="","",IFERROR(CIQ($C71,"IQ_EBIT",N$68,vd,,,curr)*$L$3,""))</t>
        </r>
      </text>
    </comment>
    <comment ref="D72" authorId="0" shapeId="0" xr:uid="{5F7BDD00-3827-4066-93CD-390961D24F9E}">
      <text>
        <r>
          <rPr>
            <b/>
            <sz val="9"/>
            <color indexed="81"/>
            <rFont val="Tahoma"/>
            <family val="2"/>
          </rPr>
          <t>=IF($C72="","",IFERROR(CIQ($C72,"IQ_EBIT",D$68,vd,,,curr)*$L$3,""))</t>
        </r>
      </text>
    </comment>
    <comment ref="E72" authorId="0" shapeId="0" xr:uid="{EA1F83A7-11C0-4A62-983F-2C5539944E6F}">
      <text>
        <r>
          <rPr>
            <b/>
            <sz val="9"/>
            <color indexed="81"/>
            <rFont val="Tahoma"/>
            <family val="2"/>
          </rPr>
          <t>=IF($C72="","",IFERROR(CIQ($C72,"IQ_EBIT",E$68,vd,,,curr)*$L$3,""))</t>
        </r>
      </text>
    </comment>
    <comment ref="F72" authorId="0" shapeId="0" xr:uid="{3F8025C1-8837-4E5F-9937-28090FC41881}">
      <text>
        <r>
          <rPr>
            <b/>
            <sz val="9"/>
            <color indexed="81"/>
            <rFont val="Tahoma"/>
            <family val="2"/>
          </rPr>
          <t>=IF($C72="","",IFERROR(CIQ($C72,"IQ_EBIT",F$68,vd,,,curr)*$L$3,""))</t>
        </r>
      </text>
    </comment>
    <comment ref="G72" authorId="0" shapeId="0" xr:uid="{96911499-32AA-46FF-9A7A-EAE76C3E5EFC}">
      <text>
        <r>
          <rPr>
            <b/>
            <sz val="9"/>
            <color indexed="81"/>
            <rFont val="Tahoma"/>
            <family val="2"/>
          </rPr>
          <t>=IF($C72="","",IFERROR(CIQ($C72,"IQ_EBIT",G$68,vd,,,curr)*$L$3,""))</t>
        </r>
      </text>
    </comment>
    <comment ref="H72" authorId="0" shapeId="0" xr:uid="{EE6F9B28-4555-4650-8491-5961B280A672}">
      <text>
        <r>
          <rPr>
            <b/>
            <sz val="9"/>
            <color indexed="81"/>
            <rFont val="Tahoma"/>
            <family val="2"/>
          </rPr>
          <t>=IF($C72="","",IFERROR(CIQ($C72,"IQ_EBIT",H$68,vd,,,curr)*$L$3,""))</t>
        </r>
      </text>
    </comment>
    <comment ref="I72" authorId="0" shapeId="0" xr:uid="{EB8C4EEA-9E8C-41AD-8AF4-8CF9E9A8D7C7}">
      <text>
        <r>
          <rPr>
            <b/>
            <sz val="9"/>
            <color indexed="81"/>
            <rFont val="Tahoma"/>
            <family val="2"/>
          </rPr>
          <t>=IF($C72="","",IFERROR(CIQ($C72,"IQ_EBIT",I$68,vd,,,curr)*$L$3,""))</t>
        </r>
      </text>
    </comment>
    <comment ref="J72" authorId="0" shapeId="0" xr:uid="{D055FD15-3DF3-427C-8B26-9D5DAF12DD26}">
      <text>
        <r>
          <rPr>
            <b/>
            <sz val="9"/>
            <color indexed="81"/>
            <rFont val="Tahoma"/>
            <family val="2"/>
          </rPr>
          <t>=IF($C72="","",IFERROR(CIQ($C72,"IQ_EBIT",J$68,vd,,,curr)*$L$3,""))</t>
        </r>
      </text>
    </comment>
    <comment ref="K72" authorId="0" shapeId="0" xr:uid="{4363E74C-8032-4A5D-8F4B-E0CD8827F507}">
      <text>
        <r>
          <rPr>
            <b/>
            <sz val="9"/>
            <color indexed="81"/>
            <rFont val="Tahoma"/>
            <family val="2"/>
          </rPr>
          <t>=IF($C72="","",IFERROR(CIQ($C72,"IQ_EBIT",K$68,vd,,,curr)*$L$3,""))</t>
        </r>
      </text>
    </comment>
    <comment ref="L72" authorId="0" shapeId="0" xr:uid="{BE213C86-3774-41F7-99E8-5A27A9D30FF8}">
      <text>
        <r>
          <rPr>
            <b/>
            <sz val="9"/>
            <color indexed="81"/>
            <rFont val="Tahoma"/>
            <family val="2"/>
          </rPr>
          <t>=IF($C72="","",IFERROR(CIQ($C72,"IQ_EBIT",L$68,vd,,,curr)*$L$3,""))</t>
        </r>
      </text>
    </comment>
    <comment ref="M72" authorId="0" shapeId="0" xr:uid="{5FDB8C0B-6703-4161-A910-F9989E59F683}">
      <text>
        <r>
          <rPr>
            <b/>
            <sz val="9"/>
            <color indexed="81"/>
            <rFont val="Tahoma"/>
            <family val="2"/>
          </rPr>
          <t>=IF($C72="","",IFERROR(CIQ($C72,"IQ_EBIT",M$68,vd,,,curr)*$L$3,""))</t>
        </r>
      </text>
    </comment>
    <comment ref="N72" authorId="0" shapeId="0" xr:uid="{C458CE16-BF70-4CD6-81C6-9E6FD7558465}">
      <text>
        <r>
          <rPr>
            <b/>
            <sz val="9"/>
            <color indexed="81"/>
            <rFont val="Tahoma"/>
            <family val="2"/>
          </rPr>
          <t>=IF($C72="","",IFERROR(CIQ($C72,"IQ_EBIT",N$68,vd,,,curr)*$L$3,""))</t>
        </r>
      </text>
    </comment>
    <comment ref="D73" authorId="0" shapeId="0" xr:uid="{93B9072D-9284-4DAF-9676-7D109971A6E6}">
      <text>
        <r>
          <rPr>
            <b/>
            <sz val="9"/>
            <color indexed="81"/>
            <rFont val="Tahoma"/>
            <family val="2"/>
          </rPr>
          <t>=IF($C73="","",IFERROR(CIQ($C73,"IQ_EBIT",D$68,vd,,,curr)*$L$3,""))</t>
        </r>
      </text>
    </comment>
    <comment ref="E73" authorId="0" shapeId="0" xr:uid="{7D10C34D-C95E-41CF-BCBB-C6EF5372A2F1}">
      <text>
        <r>
          <rPr>
            <b/>
            <sz val="9"/>
            <color indexed="81"/>
            <rFont val="Tahoma"/>
            <family val="2"/>
          </rPr>
          <t>=IF($C73="","",IFERROR(CIQ($C73,"IQ_EBIT",E$68,vd,,,curr)*$L$3,""))</t>
        </r>
      </text>
    </comment>
    <comment ref="F73" authorId="0" shapeId="0" xr:uid="{85F16F9B-855C-4CFE-BABD-D38683CD409B}">
      <text>
        <r>
          <rPr>
            <b/>
            <sz val="9"/>
            <color indexed="81"/>
            <rFont val="Tahoma"/>
            <family val="2"/>
          </rPr>
          <t>=IF($C73="","",IFERROR(CIQ($C73,"IQ_EBIT",F$68,vd,,,curr)*$L$3,""))</t>
        </r>
      </text>
    </comment>
    <comment ref="G73" authorId="0" shapeId="0" xr:uid="{413F5CBA-A382-4BA6-BFD9-0B81E40485E3}">
      <text>
        <r>
          <rPr>
            <b/>
            <sz val="9"/>
            <color indexed="81"/>
            <rFont val="Tahoma"/>
            <family val="2"/>
          </rPr>
          <t>=IF($C73="","",IFERROR(CIQ($C73,"IQ_EBIT",G$68,vd,,,curr)*$L$3,""))</t>
        </r>
      </text>
    </comment>
    <comment ref="H73" authorId="0" shapeId="0" xr:uid="{800BAD95-488E-49C3-A59B-B2D164E534B8}">
      <text>
        <r>
          <rPr>
            <b/>
            <sz val="9"/>
            <color indexed="81"/>
            <rFont val="Tahoma"/>
            <family val="2"/>
          </rPr>
          <t>=IF($C73="","",IFERROR(CIQ($C73,"IQ_EBIT",H$68,vd,,,curr)*$L$3,""))</t>
        </r>
      </text>
    </comment>
    <comment ref="I73" authorId="0" shapeId="0" xr:uid="{E7192552-20FF-40A2-ABD0-F33BEFF17A28}">
      <text>
        <r>
          <rPr>
            <b/>
            <sz val="9"/>
            <color indexed="81"/>
            <rFont val="Tahoma"/>
            <family val="2"/>
          </rPr>
          <t>=IF($C73="","",IFERROR(CIQ($C73,"IQ_EBIT",I$68,vd,,,curr)*$L$3,""))</t>
        </r>
      </text>
    </comment>
    <comment ref="J73" authorId="0" shapeId="0" xr:uid="{42F5BCD4-28DD-4821-B0C3-AA1309EB95E8}">
      <text>
        <r>
          <rPr>
            <b/>
            <sz val="9"/>
            <color indexed="81"/>
            <rFont val="Tahoma"/>
            <family val="2"/>
          </rPr>
          <t>=IF($C73="","",IFERROR(CIQ($C73,"IQ_EBIT",J$68,vd,,,curr)*$L$3,""))</t>
        </r>
      </text>
    </comment>
    <comment ref="K73" authorId="0" shapeId="0" xr:uid="{27C53DF7-639F-4634-ACEB-6F60F1E20BA8}">
      <text>
        <r>
          <rPr>
            <b/>
            <sz val="9"/>
            <color indexed="81"/>
            <rFont val="Tahoma"/>
            <family val="2"/>
          </rPr>
          <t>=IF($C73="","",IFERROR(CIQ($C73,"IQ_EBIT",K$68,vd,,,curr)*$L$3,""))</t>
        </r>
      </text>
    </comment>
    <comment ref="L73" authorId="0" shapeId="0" xr:uid="{79FBCE6E-6FEC-4FA8-B225-7CE996E1D096}">
      <text>
        <r>
          <rPr>
            <b/>
            <sz val="9"/>
            <color indexed="81"/>
            <rFont val="Tahoma"/>
            <family val="2"/>
          </rPr>
          <t>=IF($C73="","",IFERROR(CIQ($C73,"IQ_EBIT",L$68,vd,,,curr)*$L$3,""))</t>
        </r>
      </text>
    </comment>
    <comment ref="M73" authorId="0" shapeId="0" xr:uid="{3C39806E-7C8B-4D7D-AA2D-8E3CAA194F8F}">
      <text>
        <r>
          <rPr>
            <b/>
            <sz val="9"/>
            <color indexed="81"/>
            <rFont val="Tahoma"/>
            <family val="2"/>
          </rPr>
          <t>=IF($C73="","",IFERROR(CIQ($C73,"IQ_EBIT",M$68,vd,,,curr)*$L$3,""))</t>
        </r>
      </text>
    </comment>
    <comment ref="N73" authorId="0" shapeId="0" xr:uid="{7A742672-65D4-47C2-9262-D7AC576155E1}">
      <text>
        <r>
          <rPr>
            <b/>
            <sz val="9"/>
            <color indexed="81"/>
            <rFont val="Tahoma"/>
            <family val="2"/>
          </rPr>
          <t>=IF($C73="","",IFERROR(CIQ($C73,"IQ_EBIT",N$68,vd,,,curr)*$L$3,""))</t>
        </r>
      </text>
    </comment>
    <comment ref="D74" authorId="0" shapeId="0" xr:uid="{0C9A3373-EB1A-469D-BA36-67F4FFFDB347}">
      <text>
        <r>
          <rPr>
            <b/>
            <sz val="9"/>
            <color indexed="81"/>
            <rFont val="Tahoma"/>
            <family val="2"/>
          </rPr>
          <t>=IF($C74="","",IFERROR(CIQ($C74,"IQ_EBIT",D$68,vd,,,curr)*$L$3,""))</t>
        </r>
      </text>
    </comment>
    <comment ref="E74" authorId="0" shapeId="0" xr:uid="{4B0EACB4-D72B-4F6C-A0C9-9577B6FB4E1B}">
      <text>
        <r>
          <rPr>
            <b/>
            <sz val="9"/>
            <color indexed="81"/>
            <rFont val="Tahoma"/>
            <family val="2"/>
          </rPr>
          <t>=IF($C74="","",IFERROR(CIQ($C74,"IQ_EBIT",E$68,vd,,,curr)*$L$3,""))</t>
        </r>
      </text>
    </comment>
    <comment ref="F74" authorId="0" shapeId="0" xr:uid="{075935E5-CBD0-4008-BA38-78C6E3C422A7}">
      <text>
        <r>
          <rPr>
            <b/>
            <sz val="9"/>
            <color indexed="81"/>
            <rFont val="Tahoma"/>
            <family val="2"/>
          </rPr>
          <t>=IF($C74="","",IFERROR(CIQ($C74,"IQ_EBIT",F$68,vd,,,curr)*$L$3,""))</t>
        </r>
      </text>
    </comment>
    <comment ref="G74" authorId="0" shapeId="0" xr:uid="{3932792C-5234-453E-8D00-DE07FB3EF341}">
      <text>
        <r>
          <rPr>
            <b/>
            <sz val="9"/>
            <color indexed="81"/>
            <rFont val="Tahoma"/>
            <family val="2"/>
          </rPr>
          <t>=IF($C74="","",IFERROR(CIQ($C74,"IQ_EBIT",G$68,vd,,,curr)*$L$3,""))</t>
        </r>
      </text>
    </comment>
    <comment ref="H74" authorId="0" shapeId="0" xr:uid="{C0A22261-8A20-4AF5-B0D1-22FE3AC01605}">
      <text>
        <r>
          <rPr>
            <b/>
            <sz val="9"/>
            <color indexed="81"/>
            <rFont val="Tahoma"/>
            <family val="2"/>
          </rPr>
          <t>=IF($C74="","",IFERROR(CIQ($C74,"IQ_EBIT",H$68,vd,,,curr)*$L$3,""))</t>
        </r>
      </text>
    </comment>
    <comment ref="I74" authorId="0" shapeId="0" xr:uid="{E0187722-599D-4E89-9756-CE2DBE691850}">
      <text>
        <r>
          <rPr>
            <b/>
            <sz val="9"/>
            <color indexed="81"/>
            <rFont val="Tahoma"/>
            <family val="2"/>
          </rPr>
          <t>=IF($C74="","",IFERROR(CIQ($C74,"IQ_EBIT",I$68,vd,,,curr)*$L$3,""))</t>
        </r>
      </text>
    </comment>
    <comment ref="J74" authorId="0" shapeId="0" xr:uid="{73D3A844-23B2-45A4-978E-F0B7F9D7E078}">
      <text>
        <r>
          <rPr>
            <b/>
            <sz val="9"/>
            <color indexed="81"/>
            <rFont val="Tahoma"/>
            <family val="2"/>
          </rPr>
          <t>=IF($C74="","",IFERROR(CIQ($C74,"IQ_EBIT",J$68,vd,,,curr)*$L$3,""))</t>
        </r>
      </text>
    </comment>
    <comment ref="K74" authorId="0" shapeId="0" xr:uid="{51F05A87-3D6D-49C1-B3B2-A2FFB93613A1}">
      <text>
        <r>
          <rPr>
            <b/>
            <sz val="9"/>
            <color indexed="81"/>
            <rFont val="Tahoma"/>
            <family val="2"/>
          </rPr>
          <t>=IF($C74="","",IFERROR(CIQ($C74,"IQ_EBIT",K$68,vd,,,curr)*$L$3,""))</t>
        </r>
      </text>
    </comment>
    <comment ref="L74" authorId="0" shapeId="0" xr:uid="{28CF94E2-4950-4B98-A14D-94FCB81DB4E8}">
      <text>
        <r>
          <rPr>
            <b/>
            <sz val="9"/>
            <color indexed="81"/>
            <rFont val="Tahoma"/>
            <family val="2"/>
          </rPr>
          <t>=IF($C74="","",IFERROR(CIQ($C74,"IQ_EBIT",L$68,vd,,,curr)*$L$3,""))</t>
        </r>
      </text>
    </comment>
    <comment ref="M74" authorId="0" shapeId="0" xr:uid="{26921E3C-3D8F-4BEE-BA61-D32C658C33B0}">
      <text>
        <r>
          <rPr>
            <b/>
            <sz val="9"/>
            <color indexed="81"/>
            <rFont val="Tahoma"/>
            <family val="2"/>
          </rPr>
          <t>=IF($C74="","",IFERROR(CIQ($C74,"IQ_EBIT",M$68,vd,,,curr)*$L$3,""))</t>
        </r>
      </text>
    </comment>
    <comment ref="N74" authorId="0" shapeId="0" xr:uid="{2413348D-0D3E-4F14-868E-663F78D7D02F}">
      <text>
        <r>
          <rPr>
            <b/>
            <sz val="9"/>
            <color indexed="81"/>
            <rFont val="Tahoma"/>
            <family val="2"/>
          </rPr>
          <t>=IF($C74="","",IFERROR(CIQ($C74,"IQ_EBIT",N$68,vd,,,curr)*$L$3,""))</t>
        </r>
      </text>
    </comment>
    <comment ref="D75" authorId="0" shapeId="0" xr:uid="{F371CABF-D3F3-4853-9F11-BFE8DAE6193E}">
      <text>
        <r>
          <rPr>
            <b/>
            <sz val="9"/>
            <color indexed="81"/>
            <rFont val="Tahoma"/>
            <family val="2"/>
          </rPr>
          <t>=IF($C75="","",IFERROR(CIQ($C75,"IQ_EBIT",D$68,vd,,,curr)*$L$3,""))</t>
        </r>
      </text>
    </comment>
    <comment ref="E75" authorId="0" shapeId="0" xr:uid="{1FDD8D1A-F28D-42D1-AAB2-1E872528DDA4}">
      <text>
        <r>
          <rPr>
            <b/>
            <sz val="9"/>
            <color indexed="81"/>
            <rFont val="Tahoma"/>
            <family val="2"/>
          </rPr>
          <t>=IF($C75="","",IFERROR(CIQ($C75,"IQ_EBIT",E$68,vd,,,curr)*$L$3,""))</t>
        </r>
      </text>
    </comment>
    <comment ref="F75" authorId="0" shapeId="0" xr:uid="{965E1D95-1A25-4884-9AD1-5D754BC5E182}">
      <text>
        <r>
          <rPr>
            <b/>
            <sz val="9"/>
            <color indexed="81"/>
            <rFont val="Tahoma"/>
            <family val="2"/>
          </rPr>
          <t>=IF($C75="","",IFERROR(CIQ($C75,"IQ_EBIT",F$68,vd,,,curr)*$L$3,""))</t>
        </r>
      </text>
    </comment>
    <comment ref="G75" authorId="0" shapeId="0" xr:uid="{A0CA26EB-5B5C-4287-BB70-61AA65C53F8D}">
      <text>
        <r>
          <rPr>
            <b/>
            <sz val="9"/>
            <color indexed="81"/>
            <rFont val="Tahoma"/>
            <family val="2"/>
          </rPr>
          <t>=IF($C75="","",IFERROR(CIQ($C75,"IQ_EBIT",G$68,vd,,,curr)*$L$3,""))</t>
        </r>
      </text>
    </comment>
    <comment ref="H75" authorId="0" shapeId="0" xr:uid="{0CD40106-3444-4B00-95C9-73B00E91DBFE}">
      <text>
        <r>
          <rPr>
            <b/>
            <sz val="9"/>
            <color indexed="81"/>
            <rFont val="Tahoma"/>
            <family val="2"/>
          </rPr>
          <t>=IF($C75="","",IFERROR(CIQ($C75,"IQ_EBIT",H$68,vd,,,curr)*$L$3,""))</t>
        </r>
      </text>
    </comment>
    <comment ref="I75" authorId="0" shapeId="0" xr:uid="{E566AB5E-9CE6-4629-A282-27E4595249AA}">
      <text>
        <r>
          <rPr>
            <b/>
            <sz val="9"/>
            <color indexed="81"/>
            <rFont val="Tahoma"/>
            <family val="2"/>
          </rPr>
          <t>=IF($C75="","",IFERROR(CIQ($C75,"IQ_EBIT",I$68,vd,,,curr)*$L$3,""))</t>
        </r>
      </text>
    </comment>
    <comment ref="J75" authorId="0" shapeId="0" xr:uid="{2E7A01E8-E215-42F2-B761-93B3028FB0CC}">
      <text>
        <r>
          <rPr>
            <b/>
            <sz val="9"/>
            <color indexed="81"/>
            <rFont val="Tahoma"/>
            <family val="2"/>
          </rPr>
          <t>=IF($C75="","",IFERROR(CIQ($C75,"IQ_EBIT",J$68,vd,,,curr)*$L$3,""))</t>
        </r>
      </text>
    </comment>
    <comment ref="K75" authorId="0" shapeId="0" xr:uid="{CF134FB3-502B-4EFC-9696-43C1E4F2EEF3}">
      <text>
        <r>
          <rPr>
            <b/>
            <sz val="9"/>
            <color indexed="81"/>
            <rFont val="Tahoma"/>
            <family val="2"/>
          </rPr>
          <t>=IF($C75="","",IFERROR(CIQ($C75,"IQ_EBIT",K$68,vd,,,curr)*$L$3,""))</t>
        </r>
      </text>
    </comment>
    <comment ref="L75" authorId="0" shapeId="0" xr:uid="{5E4B2C62-5FB2-46C4-8C33-E504C1A3963D}">
      <text>
        <r>
          <rPr>
            <b/>
            <sz val="9"/>
            <color indexed="81"/>
            <rFont val="Tahoma"/>
            <family val="2"/>
          </rPr>
          <t>=IF($C75="","",IFERROR(CIQ($C75,"IQ_EBIT",L$68,vd,,,curr)*$L$3,""))</t>
        </r>
      </text>
    </comment>
    <comment ref="M75" authorId="0" shapeId="0" xr:uid="{0225E214-D34D-4B19-9CC5-D649005CD003}">
      <text>
        <r>
          <rPr>
            <b/>
            <sz val="9"/>
            <color indexed="81"/>
            <rFont val="Tahoma"/>
            <family val="2"/>
          </rPr>
          <t>=IF($C75="","",IFERROR(CIQ($C75,"IQ_EBIT",M$68,vd,,,curr)*$L$3,""))</t>
        </r>
      </text>
    </comment>
    <comment ref="N75" authorId="0" shapeId="0" xr:uid="{8201D1BF-5224-4227-AA2C-A4B1E0C5E355}">
      <text>
        <r>
          <rPr>
            <b/>
            <sz val="9"/>
            <color indexed="81"/>
            <rFont val="Tahoma"/>
            <family val="2"/>
          </rPr>
          <t>=IF($C75="","",IFERROR(CIQ($C75,"IQ_EBIT",N$68,vd,,,curr)*$L$3,""))</t>
        </r>
      </text>
    </comment>
    <comment ref="D76" authorId="0" shapeId="0" xr:uid="{05CFB032-9427-4CF2-B102-FA7A67EAA8C0}">
      <text>
        <r>
          <rPr>
            <b/>
            <sz val="9"/>
            <color indexed="81"/>
            <rFont val="Tahoma"/>
            <family val="2"/>
          </rPr>
          <t>=IF($C76="","",IFERROR(CIQ($C76,"IQ_EBIT",D$68,vd,,,curr)*$L$3,""))</t>
        </r>
      </text>
    </comment>
    <comment ref="E76" authorId="0" shapeId="0" xr:uid="{84A5C390-C84B-4BC6-B184-523655FC645F}">
      <text>
        <r>
          <rPr>
            <b/>
            <sz val="9"/>
            <color indexed="81"/>
            <rFont val="Tahoma"/>
            <family val="2"/>
          </rPr>
          <t>=IF($C76="","",IFERROR(CIQ($C76,"IQ_EBIT",E$68,vd,,,curr)*$L$3,""))</t>
        </r>
      </text>
    </comment>
    <comment ref="F76" authorId="0" shapeId="0" xr:uid="{4D31C841-04B9-4E48-A960-FD4F408FAF02}">
      <text>
        <r>
          <rPr>
            <b/>
            <sz val="9"/>
            <color indexed="81"/>
            <rFont val="Tahoma"/>
            <family val="2"/>
          </rPr>
          <t>=IF($C76="","",IFERROR(CIQ($C76,"IQ_EBIT",F$68,vd,,,curr)*$L$3,""))</t>
        </r>
      </text>
    </comment>
    <comment ref="G76" authorId="0" shapeId="0" xr:uid="{CECF87CB-0CB0-45CA-A2BB-0EB9A45F4385}">
      <text>
        <r>
          <rPr>
            <b/>
            <sz val="9"/>
            <color indexed="81"/>
            <rFont val="Tahoma"/>
            <family val="2"/>
          </rPr>
          <t>=IF($C76="","",IFERROR(CIQ($C76,"IQ_EBIT",G$68,vd,,,curr)*$L$3,""))</t>
        </r>
      </text>
    </comment>
    <comment ref="H76" authorId="0" shapeId="0" xr:uid="{CD6A2A67-2489-4473-ACB4-75BC0A40C539}">
      <text>
        <r>
          <rPr>
            <b/>
            <sz val="9"/>
            <color indexed="81"/>
            <rFont val="Tahoma"/>
            <family val="2"/>
          </rPr>
          <t>=IF($C76="","",IFERROR(CIQ($C76,"IQ_EBIT",H$68,vd,,,curr)*$L$3,""))</t>
        </r>
      </text>
    </comment>
    <comment ref="I76" authorId="0" shapeId="0" xr:uid="{FC4BD866-6982-404A-88E5-4D6FD522EF53}">
      <text>
        <r>
          <rPr>
            <b/>
            <sz val="9"/>
            <color indexed="81"/>
            <rFont val="Tahoma"/>
            <family val="2"/>
          </rPr>
          <t>=IF($C76="","",IFERROR(CIQ($C76,"IQ_EBIT",I$68,vd,,,curr)*$L$3,""))</t>
        </r>
      </text>
    </comment>
    <comment ref="J76" authorId="0" shapeId="0" xr:uid="{677D6D23-5A3A-4459-A9E7-2D5C14AD3F9F}">
      <text>
        <r>
          <rPr>
            <b/>
            <sz val="9"/>
            <color indexed="81"/>
            <rFont val="Tahoma"/>
            <family val="2"/>
          </rPr>
          <t>=IF($C76="","",IFERROR(CIQ($C76,"IQ_EBIT",J$68,vd,,,curr)*$L$3,""))</t>
        </r>
      </text>
    </comment>
    <comment ref="K76" authorId="0" shapeId="0" xr:uid="{16FADE3D-6A03-4C34-96D1-3A1CB98DDB02}">
      <text>
        <r>
          <rPr>
            <b/>
            <sz val="9"/>
            <color indexed="81"/>
            <rFont val="Tahoma"/>
            <family val="2"/>
          </rPr>
          <t>=IF($C76="","",IFERROR(CIQ($C76,"IQ_EBIT",K$68,vd,,,curr)*$L$3,""))</t>
        </r>
      </text>
    </comment>
    <comment ref="L76" authorId="0" shapeId="0" xr:uid="{CE408010-0F91-4D1A-8F1D-F176FC972F87}">
      <text>
        <r>
          <rPr>
            <b/>
            <sz val="9"/>
            <color indexed="81"/>
            <rFont val="Tahoma"/>
            <family val="2"/>
          </rPr>
          <t>=IF($C76="","",IFERROR(CIQ($C76,"IQ_EBIT",L$68,vd,,,curr)*$L$3,""))</t>
        </r>
      </text>
    </comment>
    <comment ref="M76" authorId="0" shapeId="0" xr:uid="{C44BAE4A-EFB8-43EE-9BC3-3FABB16C9513}">
      <text>
        <r>
          <rPr>
            <b/>
            <sz val="9"/>
            <color indexed="81"/>
            <rFont val="Tahoma"/>
            <family val="2"/>
          </rPr>
          <t>=IF($C76="","",IFERROR(CIQ($C76,"IQ_EBIT",M$68,vd,,,curr)*$L$3,""))</t>
        </r>
      </text>
    </comment>
    <comment ref="N76" authorId="0" shapeId="0" xr:uid="{D16A749E-AEFF-4699-AF47-CEE1208D743A}">
      <text>
        <r>
          <rPr>
            <b/>
            <sz val="9"/>
            <color indexed="81"/>
            <rFont val="Tahoma"/>
            <family val="2"/>
          </rPr>
          <t>=IF($C76="","",IFERROR(CIQ($C76,"IQ_EBIT",N$68,vd,,,curr)*$L$3,""))</t>
        </r>
      </text>
    </comment>
    <comment ref="D77" authorId="0" shapeId="0" xr:uid="{B803ADEE-C31B-48B4-B556-65EB3293AB88}">
      <text>
        <r>
          <rPr>
            <b/>
            <sz val="9"/>
            <color indexed="81"/>
            <rFont val="Tahoma"/>
            <family val="2"/>
          </rPr>
          <t>=IF($C77="","",IFERROR(CIQ($C77,"IQ_EBIT",D$68,vd,,,curr)*$L$3,""))</t>
        </r>
      </text>
    </comment>
    <comment ref="E77" authorId="0" shapeId="0" xr:uid="{7D39E9A3-7627-4FC6-890A-05A1E5CD3092}">
      <text>
        <r>
          <rPr>
            <b/>
            <sz val="9"/>
            <color indexed="81"/>
            <rFont val="Tahoma"/>
            <family val="2"/>
          </rPr>
          <t>=IF($C77="","",IFERROR(CIQ($C77,"IQ_EBIT",E$68,vd,,,curr)*$L$3,""))</t>
        </r>
      </text>
    </comment>
    <comment ref="F77" authorId="0" shapeId="0" xr:uid="{AE566991-13EA-4B4B-9018-29104341F250}">
      <text>
        <r>
          <rPr>
            <b/>
            <sz val="9"/>
            <color indexed="81"/>
            <rFont val="Tahoma"/>
            <family val="2"/>
          </rPr>
          <t>=IF($C77="","",IFERROR(CIQ($C77,"IQ_EBIT",F$68,vd,,,curr)*$L$3,""))</t>
        </r>
      </text>
    </comment>
    <comment ref="G77" authorId="0" shapeId="0" xr:uid="{699CF1A4-6ABE-4299-A1DD-F98E4836E197}">
      <text>
        <r>
          <rPr>
            <b/>
            <sz val="9"/>
            <color indexed="81"/>
            <rFont val="Tahoma"/>
            <family val="2"/>
          </rPr>
          <t>=IF($C77="","",IFERROR(CIQ($C77,"IQ_EBIT",G$68,vd,,,curr)*$L$3,""))</t>
        </r>
      </text>
    </comment>
    <comment ref="H77" authorId="0" shapeId="0" xr:uid="{6CF583AD-D3C2-4EAB-929B-87E35E4D599F}">
      <text>
        <r>
          <rPr>
            <b/>
            <sz val="9"/>
            <color indexed="81"/>
            <rFont val="Tahoma"/>
            <family val="2"/>
          </rPr>
          <t>=IF($C77="","",IFERROR(CIQ($C77,"IQ_EBIT",H$68,vd,,,curr)*$L$3,""))</t>
        </r>
      </text>
    </comment>
    <comment ref="I77" authorId="0" shapeId="0" xr:uid="{58A01FCE-5072-4EA5-B048-DFA26E73F72D}">
      <text>
        <r>
          <rPr>
            <b/>
            <sz val="9"/>
            <color indexed="81"/>
            <rFont val="Tahoma"/>
            <family val="2"/>
          </rPr>
          <t>=IF($C77="","",IFERROR(CIQ($C77,"IQ_EBIT",I$68,vd,,,curr)*$L$3,""))</t>
        </r>
      </text>
    </comment>
    <comment ref="J77" authorId="0" shapeId="0" xr:uid="{21F461E9-F8B3-4F43-B840-93C6901999E4}">
      <text>
        <r>
          <rPr>
            <b/>
            <sz val="9"/>
            <color indexed="81"/>
            <rFont val="Tahoma"/>
            <family val="2"/>
          </rPr>
          <t>=IF($C77="","",IFERROR(CIQ($C77,"IQ_EBIT",J$68,vd,,,curr)*$L$3,""))</t>
        </r>
      </text>
    </comment>
    <comment ref="K77" authorId="0" shapeId="0" xr:uid="{8527619B-1316-44ED-BFD6-3827FF07BA9C}">
      <text>
        <r>
          <rPr>
            <b/>
            <sz val="9"/>
            <color indexed="81"/>
            <rFont val="Tahoma"/>
            <family val="2"/>
          </rPr>
          <t>=IF($C77="","",IFERROR(CIQ($C77,"IQ_EBIT",K$68,vd,,,curr)*$L$3,""))</t>
        </r>
      </text>
    </comment>
    <comment ref="L77" authorId="0" shapeId="0" xr:uid="{6BE0149D-01C8-493C-85AC-7064838DC58D}">
      <text>
        <r>
          <rPr>
            <b/>
            <sz val="9"/>
            <color indexed="81"/>
            <rFont val="Tahoma"/>
            <family val="2"/>
          </rPr>
          <t>=IF($C77="","",IFERROR(CIQ($C77,"IQ_EBIT",L$68,vd,,,curr)*$L$3,""))</t>
        </r>
      </text>
    </comment>
    <comment ref="M77" authorId="0" shapeId="0" xr:uid="{CC8C6DAE-1CAE-4339-9CB5-B8E8F104C2F0}">
      <text>
        <r>
          <rPr>
            <b/>
            <sz val="9"/>
            <color indexed="81"/>
            <rFont val="Tahoma"/>
            <family val="2"/>
          </rPr>
          <t>=IF($C77="","",IFERROR(CIQ($C77,"IQ_EBIT",M$68,vd,,,curr)*$L$3,""))</t>
        </r>
      </text>
    </comment>
    <comment ref="N77" authorId="0" shapeId="0" xr:uid="{022A2305-744A-4D19-81B3-0796FFA7B848}">
      <text>
        <r>
          <rPr>
            <b/>
            <sz val="9"/>
            <color indexed="81"/>
            <rFont val="Tahoma"/>
            <family val="2"/>
          </rPr>
          <t>=IF($C77="","",IFERROR(CIQ($C77,"IQ_EBIT",N$68,vd,,,curr)*$L$3,""))</t>
        </r>
      </text>
    </comment>
    <comment ref="D78" authorId="0" shapeId="0" xr:uid="{C0CE1A66-7CF4-4FE9-89AD-D96CEA10FF8E}">
      <text>
        <r>
          <rPr>
            <b/>
            <sz val="9"/>
            <color indexed="81"/>
            <rFont val="Tahoma"/>
            <family val="2"/>
          </rPr>
          <t>=IF($C78="","",IFERROR(CIQ($C78,"IQ_EBIT",D$68,vd,,,curr)*$L$3,""))</t>
        </r>
      </text>
    </comment>
    <comment ref="E78" authorId="0" shapeId="0" xr:uid="{8731CBBD-256B-4D1B-8DA7-A918C1F2C46F}">
      <text>
        <r>
          <rPr>
            <b/>
            <sz val="9"/>
            <color indexed="81"/>
            <rFont val="Tahoma"/>
            <family val="2"/>
          </rPr>
          <t>=IF($C78="","",IFERROR(CIQ($C78,"IQ_EBIT",E$68,vd,,,curr)*$L$3,""))</t>
        </r>
      </text>
    </comment>
    <comment ref="F78" authorId="0" shapeId="0" xr:uid="{7290F182-AF35-4386-A062-37BEE78792B2}">
      <text>
        <r>
          <rPr>
            <b/>
            <sz val="9"/>
            <color indexed="81"/>
            <rFont val="Tahoma"/>
            <family val="2"/>
          </rPr>
          <t>=IF($C78="","",IFERROR(CIQ($C78,"IQ_EBIT",F$68,vd,,,curr)*$L$3,""))</t>
        </r>
      </text>
    </comment>
    <comment ref="G78" authorId="0" shapeId="0" xr:uid="{D5EC8BF5-F54F-4F66-8349-4A8013C502A6}">
      <text>
        <r>
          <rPr>
            <b/>
            <sz val="9"/>
            <color indexed="81"/>
            <rFont val="Tahoma"/>
            <family val="2"/>
          </rPr>
          <t>=IF($C78="","",IFERROR(CIQ($C78,"IQ_EBIT",G$68,vd,,,curr)*$L$3,""))</t>
        </r>
      </text>
    </comment>
    <comment ref="H78" authorId="0" shapeId="0" xr:uid="{206EAFF2-6BBE-43A7-97C9-46F49C4BDE83}">
      <text>
        <r>
          <rPr>
            <b/>
            <sz val="9"/>
            <color indexed="81"/>
            <rFont val="Tahoma"/>
            <family val="2"/>
          </rPr>
          <t>=IF($C78="","",IFERROR(CIQ($C78,"IQ_EBIT",H$68,vd,,,curr)*$L$3,""))</t>
        </r>
      </text>
    </comment>
    <comment ref="I78" authorId="0" shapeId="0" xr:uid="{675EE588-C1BF-4CCC-80DA-7F89F2560A94}">
      <text>
        <r>
          <rPr>
            <b/>
            <sz val="9"/>
            <color indexed="81"/>
            <rFont val="Tahoma"/>
            <family val="2"/>
          </rPr>
          <t>=IF($C78="","",IFERROR(CIQ($C78,"IQ_EBIT",I$68,vd,,,curr)*$L$3,""))</t>
        </r>
      </text>
    </comment>
    <comment ref="J78" authorId="0" shapeId="0" xr:uid="{0DD1FEBE-7C5B-4C34-BCBC-09457B37F97D}">
      <text>
        <r>
          <rPr>
            <b/>
            <sz val="9"/>
            <color indexed="81"/>
            <rFont val="Tahoma"/>
            <family val="2"/>
          </rPr>
          <t>=IF($C78="","",IFERROR(CIQ($C78,"IQ_EBIT",J$68,vd,,,curr)*$L$3,""))</t>
        </r>
      </text>
    </comment>
    <comment ref="K78" authorId="0" shapeId="0" xr:uid="{D0656559-D25C-4852-858A-F2F2DC67D693}">
      <text>
        <r>
          <rPr>
            <b/>
            <sz val="9"/>
            <color indexed="81"/>
            <rFont val="Tahoma"/>
            <family val="2"/>
          </rPr>
          <t>=IF($C78="","",IFERROR(CIQ($C78,"IQ_EBIT",K$68,vd,,,curr)*$L$3,""))</t>
        </r>
      </text>
    </comment>
    <comment ref="L78" authorId="0" shapeId="0" xr:uid="{4AD740FD-460B-43A3-AB0F-A7773A223012}">
      <text>
        <r>
          <rPr>
            <b/>
            <sz val="9"/>
            <color indexed="81"/>
            <rFont val="Tahoma"/>
            <family val="2"/>
          </rPr>
          <t>=IF($C78="","",IFERROR(CIQ($C78,"IQ_EBIT",L$68,vd,,,curr)*$L$3,""))</t>
        </r>
      </text>
    </comment>
    <comment ref="M78" authorId="0" shapeId="0" xr:uid="{B4CCA80C-E1AC-430E-95D9-DBB40001B2CC}">
      <text>
        <r>
          <rPr>
            <b/>
            <sz val="9"/>
            <color indexed="81"/>
            <rFont val="Tahoma"/>
            <family val="2"/>
          </rPr>
          <t>=IF($C78="","",IFERROR(CIQ($C78,"IQ_EBIT",M$68,vd,,,curr)*$L$3,""))</t>
        </r>
      </text>
    </comment>
    <comment ref="N78" authorId="0" shapeId="0" xr:uid="{0A60304D-72B9-4A0C-AD97-4BD4BDE5B9FE}">
      <text>
        <r>
          <rPr>
            <b/>
            <sz val="9"/>
            <color indexed="81"/>
            <rFont val="Tahoma"/>
            <family val="2"/>
          </rPr>
          <t>=IF($C78="","",IFERROR(CIQ($C78,"IQ_EBIT",N$68,vd,,,curr)*$L$3,""))</t>
        </r>
      </text>
    </comment>
    <comment ref="D79" authorId="0" shapeId="0" xr:uid="{B3FEE401-F706-4B8D-BAA1-D9ED4833B9C8}">
      <text>
        <r>
          <rPr>
            <b/>
            <sz val="9"/>
            <color indexed="81"/>
            <rFont val="Tahoma"/>
            <family val="2"/>
          </rPr>
          <t>=IF($C79="","",IFERROR(CIQ($C79,"IQ_EBIT",D$68,vd,,,curr)*$L$3,""))</t>
        </r>
      </text>
    </comment>
    <comment ref="E79" authorId="0" shapeId="0" xr:uid="{EE0E9D32-A7A4-4747-A43E-D741EBB180D0}">
      <text>
        <r>
          <rPr>
            <b/>
            <sz val="9"/>
            <color indexed="81"/>
            <rFont val="Tahoma"/>
            <family val="2"/>
          </rPr>
          <t>=IF($C79="","",IFERROR(CIQ($C79,"IQ_EBIT",E$68,vd,,,curr)*$L$3,""))</t>
        </r>
      </text>
    </comment>
    <comment ref="F79" authorId="0" shapeId="0" xr:uid="{3571EB36-33A2-426A-B547-73ECA073D02B}">
      <text>
        <r>
          <rPr>
            <b/>
            <sz val="9"/>
            <color indexed="81"/>
            <rFont val="Tahoma"/>
            <family val="2"/>
          </rPr>
          <t>=IF($C79="","",IFERROR(CIQ($C79,"IQ_EBIT",F$68,vd,,,curr)*$L$3,""))</t>
        </r>
      </text>
    </comment>
    <comment ref="G79" authorId="0" shapeId="0" xr:uid="{4AC99D72-F666-4A3C-86D5-95428776675C}">
      <text>
        <r>
          <rPr>
            <b/>
            <sz val="9"/>
            <color indexed="81"/>
            <rFont val="Tahoma"/>
            <family val="2"/>
          </rPr>
          <t>=IF($C79="","",IFERROR(CIQ($C79,"IQ_EBIT",G$68,vd,,,curr)*$L$3,""))</t>
        </r>
      </text>
    </comment>
    <comment ref="H79" authorId="0" shapeId="0" xr:uid="{94F4AADA-0815-47FE-8D4E-D8BBBCFAE773}">
      <text>
        <r>
          <rPr>
            <b/>
            <sz val="9"/>
            <color indexed="81"/>
            <rFont val="Tahoma"/>
            <family val="2"/>
          </rPr>
          <t>=IF($C79="","",IFERROR(CIQ($C79,"IQ_EBIT",H$68,vd,,,curr)*$L$3,""))</t>
        </r>
      </text>
    </comment>
    <comment ref="I79" authorId="0" shapeId="0" xr:uid="{AA9A9656-3067-442B-A0A7-36CAA41D2E86}">
      <text>
        <r>
          <rPr>
            <b/>
            <sz val="9"/>
            <color indexed="81"/>
            <rFont val="Tahoma"/>
            <family val="2"/>
          </rPr>
          <t>=IF($C79="","",IFERROR(CIQ($C79,"IQ_EBIT",I$68,vd,,,curr)*$L$3,""))</t>
        </r>
      </text>
    </comment>
    <comment ref="J79" authorId="0" shapeId="0" xr:uid="{9759A46D-665E-449F-B47B-B7549966681A}">
      <text>
        <r>
          <rPr>
            <b/>
            <sz val="9"/>
            <color indexed="81"/>
            <rFont val="Tahoma"/>
            <family val="2"/>
          </rPr>
          <t>=IF($C79="","",IFERROR(CIQ($C79,"IQ_EBIT",J$68,vd,,,curr)*$L$3,""))</t>
        </r>
      </text>
    </comment>
    <comment ref="K79" authorId="0" shapeId="0" xr:uid="{4107DC67-84E9-4C59-A2B0-9E7632FF6C45}">
      <text>
        <r>
          <rPr>
            <b/>
            <sz val="9"/>
            <color indexed="81"/>
            <rFont val="Tahoma"/>
            <family val="2"/>
          </rPr>
          <t>=IF($C79="","",IFERROR(CIQ($C79,"IQ_EBIT",K$68,vd,,,curr)*$L$3,""))</t>
        </r>
      </text>
    </comment>
    <comment ref="L79" authorId="0" shapeId="0" xr:uid="{9B480786-ABE3-484C-A736-4A5BA3B12C5D}">
      <text>
        <r>
          <rPr>
            <b/>
            <sz val="9"/>
            <color indexed="81"/>
            <rFont val="Tahoma"/>
            <family val="2"/>
          </rPr>
          <t>=IF($C79="","",IFERROR(CIQ($C79,"IQ_EBIT",L$68,vd,,,curr)*$L$3,""))</t>
        </r>
      </text>
    </comment>
    <comment ref="M79" authorId="0" shapeId="0" xr:uid="{24FEF692-48F7-46AD-AF27-A84F04DAB411}">
      <text>
        <r>
          <rPr>
            <b/>
            <sz val="9"/>
            <color indexed="81"/>
            <rFont val="Tahoma"/>
            <family val="2"/>
          </rPr>
          <t>=IF($C79="","",IFERROR(CIQ($C79,"IQ_EBIT",M$68,vd,,,curr)*$L$3,""))</t>
        </r>
      </text>
    </comment>
    <comment ref="N79" authorId="0" shapeId="0" xr:uid="{AE3FE9C3-D6A1-44C1-A2F6-4B84E59843F3}">
      <text>
        <r>
          <rPr>
            <b/>
            <sz val="9"/>
            <color indexed="81"/>
            <rFont val="Tahoma"/>
            <family val="2"/>
          </rPr>
          <t>=IF($C79="","",IFERROR(CIQ($C79,"IQ_EBIT",N$68,vd,,,curr)*$L$3,""))</t>
        </r>
      </text>
    </comment>
    <comment ref="D80" authorId="0" shapeId="0" xr:uid="{642251C7-3585-4F4F-865E-D7A565AA9985}">
      <text>
        <r>
          <rPr>
            <b/>
            <sz val="9"/>
            <color indexed="81"/>
            <rFont val="Tahoma"/>
            <family val="2"/>
          </rPr>
          <t>=IF($C80="","",IFERROR(CIQ($C80,"IQ_EBIT",D$68,vd,,,curr)*$L$3,""))</t>
        </r>
      </text>
    </comment>
    <comment ref="E80" authorId="0" shapeId="0" xr:uid="{CC75BD32-16E8-47AD-8FE0-B1C4FC47FEC3}">
      <text>
        <r>
          <rPr>
            <b/>
            <sz val="9"/>
            <color indexed="81"/>
            <rFont val="Tahoma"/>
            <family val="2"/>
          </rPr>
          <t>=IF($C80="","",IFERROR(CIQ($C80,"IQ_EBIT",E$68,vd,,,curr)*$L$3,""))</t>
        </r>
      </text>
    </comment>
    <comment ref="F80" authorId="0" shapeId="0" xr:uid="{E7901973-62F8-462D-B7D3-4B21B3847DB3}">
      <text>
        <r>
          <rPr>
            <b/>
            <sz val="9"/>
            <color indexed="81"/>
            <rFont val="Tahoma"/>
            <family val="2"/>
          </rPr>
          <t>=IF($C80="","",IFERROR(CIQ($C80,"IQ_EBIT",F$68,vd,,,curr)*$L$3,""))</t>
        </r>
      </text>
    </comment>
    <comment ref="G80" authorId="0" shapeId="0" xr:uid="{54E92F7F-E5C9-439B-A003-D31F3AC8AED6}">
      <text>
        <r>
          <rPr>
            <b/>
            <sz val="9"/>
            <color indexed="81"/>
            <rFont val="Tahoma"/>
            <family val="2"/>
          </rPr>
          <t>=IF($C80="","",IFERROR(CIQ($C80,"IQ_EBIT",G$68,vd,,,curr)*$L$3,""))</t>
        </r>
      </text>
    </comment>
    <comment ref="H80" authorId="0" shapeId="0" xr:uid="{19717577-C70A-4CB1-8529-F3981A0F71BF}">
      <text>
        <r>
          <rPr>
            <b/>
            <sz val="9"/>
            <color indexed="81"/>
            <rFont val="Tahoma"/>
            <family val="2"/>
          </rPr>
          <t>=IF($C80="","",IFERROR(CIQ($C80,"IQ_EBIT",H$68,vd,,,curr)*$L$3,""))</t>
        </r>
      </text>
    </comment>
    <comment ref="I80" authorId="0" shapeId="0" xr:uid="{1B531DDD-731C-47A9-B660-68F250F16B6C}">
      <text>
        <r>
          <rPr>
            <b/>
            <sz val="9"/>
            <color indexed="81"/>
            <rFont val="Tahoma"/>
            <family val="2"/>
          </rPr>
          <t>=IF($C80="","",IFERROR(CIQ($C80,"IQ_EBIT",I$68,vd,,,curr)*$L$3,""))</t>
        </r>
      </text>
    </comment>
    <comment ref="J80" authorId="0" shapeId="0" xr:uid="{B27DC42C-B350-4E13-9C25-809B8579DFC2}">
      <text>
        <r>
          <rPr>
            <b/>
            <sz val="9"/>
            <color indexed="81"/>
            <rFont val="Tahoma"/>
            <family val="2"/>
          </rPr>
          <t>=IF($C80="","",IFERROR(CIQ($C80,"IQ_EBIT",J$68,vd,,,curr)*$L$3,""))</t>
        </r>
      </text>
    </comment>
    <comment ref="K80" authorId="0" shapeId="0" xr:uid="{3195E0C8-6FDB-4A72-925E-6651B1F04F48}">
      <text>
        <r>
          <rPr>
            <b/>
            <sz val="9"/>
            <color indexed="81"/>
            <rFont val="Tahoma"/>
            <family val="2"/>
          </rPr>
          <t>=IF($C80="","",IFERROR(CIQ($C80,"IQ_EBIT",K$68,vd,,,curr)*$L$3,""))</t>
        </r>
      </text>
    </comment>
    <comment ref="L80" authorId="0" shapeId="0" xr:uid="{0B37A551-E763-479A-8EBB-5ADA00CDC966}">
      <text>
        <r>
          <rPr>
            <b/>
            <sz val="9"/>
            <color indexed="81"/>
            <rFont val="Tahoma"/>
            <family val="2"/>
          </rPr>
          <t>=IF($C80="","",IFERROR(CIQ($C80,"IQ_EBIT",L$68,vd,,,curr)*$L$3,""))</t>
        </r>
      </text>
    </comment>
    <comment ref="M80" authorId="0" shapeId="0" xr:uid="{9A10F0CB-DED1-4F15-8B06-1F2BDE06BB23}">
      <text>
        <r>
          <rPr>
            <b/>
            <sz val="9"/>
            <color indexed="81"/>
            <rFont val="Tahoma"/>
            <family val="2"/>
          </rPr>
          <t>=IF($C80="","",IFERROR(CIQ($C80,"IQ_EBIT",M$68,vd,,,curr)*$L$3,""))</t>
        </r>
      </text>
    </comment>
    <comment ref="N80" authorId="0" shapeId="0" xr:uid="{EE25557E-FE40-4EB0-ABBF-32E6CF10DC37}">
      <text>
        <r>
          <rPr>
            <b/>
            <sz val="9"/>
            <color indexed="81"/>
            <rFont val="Tahoma"/>
            <family val="2"/>
          </rPr>
          <t>=IF($C80="","",IFERROR(CIQ($C80,"IQ_EBIT",N$68,vd,,,curr)*$L$3,""))</t>
        </r>
      </text>
    </comment>
    <comment ref="D81" authorId="0" shapeId="0" xr:uid="{B2159A01-739C-4753-AF9C-FB9BDA0A3B77}">
      <text>
        <r>
          <rPr>
            <b/>
            <sz val="9"/>
            <color indexed="81"/>
            <rFont val="Tahoma"/>
            <family val="2"/>
          </rPr>
          <t>=IF($C81="","",IFERROR(CIQ($C81,"IQ_EBIT",D$68,vd,,,curr)*$L$3,""))</t>
        </r>
      </text>
    </comment>
    <comment ref="E81" authorId="0" shapeId="0" xr:uid="{F7494E01-1FB6-4FEA-933B-BE4B8BC4E7DF}">
      <text>
        <r>
          <rPr>
            <b/>
            <sz val="9"/>
            <color indexed="81"/>
            <rFont val="Tahoma"/>
            <family val="2"/>
          </rPr>
          <t>=IF($C81="","",IFERROR(CIQ($C81,"IQ_EBIT",E$68,vd,,,curr)*$L$3,""))</t>
        </r>
      </text>
    </comment>
    <comment ref="F81" authorId="0" shapeId="0" xr:uid="{F193E1D9-34B7-496E-978C-F8667A0DE765}">
      <text>
        <r>
          <rPr>
            <b/>
            <sz val="9"/>
            <color indexed="81"/>
            <rFont val="Tahoma"/>
            <family val="2"/>
          </rPr>
          <t>=IF($C81="","",IFERROR(CIQ($C81,"IQ_EBIT",F$68,vd,,,curr)*$L$3,""))</t>
        </r>
      </text>
    </comment>
    <comment ref="G81" authorId="0" shapeId="0" xr:uid="{1FD3F640-EBF7-48E0-84A8-3D5BD3475855}">
      <text>
        <r>
          <rPr>
            <b/>
            <sz val="9"/>
            <color indexed="81"/>
            <rFont val="Tahoma"/>
            <family val="2"/>
          </rPr>
          <t>=IF($C81="","",IFERROR(CIQ($C81,"IQ_EBIT",G$68,vd,,,curr)*$L$3,""))</t>
        </r>
      </text>
    </comment>
    <comment ref="H81" authorId="0" shapeId="0" xr:uid="{D46343ED-CBED-42C8-BDC4-941FFA2F36AC}">
      <text>
        <r>
          <rPr>
            <b/>
            <sz val="9"/>
            <color indexed="81"/>
            <rFont val="Tahoma"/>
            <family val="2"/>
          </rPr>
          <t>=IF($C81="","",IFERROR(CIQ($C81,"IQ_EBIT",H$68,vd,,,curr)*$L$3,""))</t>
        </r>
      </text>
    </comment>
    <comment ref="I81" authorId="0" shapeId="0" xr:uid="{EBD78DAC-0BA3-4866-BC84-681B8C5DA261}">
      <text>
        <r>
          <rPr>
            <b/>
            <sz val="9"/>
            <color indexed="81"/>
            <rFont val="Tahoma"/>
            <family val="2"/>
          </rPr>
          <t>=IF($C81="","",IFERROR(CIQ($C81,"IQ_EBIT",I$68,vd,,,curr)*$L$3,""))</t>
        </r>
      </text>
    </comment>
    <comment ref="J81" authorId="0" shapeId="0" xr:uid="{DE4A8CB6-7BBA-4EB2-90C7-1FEB5B18164E}">
      <text>
        <r>
          <rPr>
            <b/>
            <sz val="9"/>
            <color indexed="81"/>
            <rFont val="Tahoma"/>
            <family val="2"/>
          </rPr>
          <t>=IF($C81="","",IFERROR(CIQ($C81,"IQ_EBIT",J$68,vd,,,curr)*$L$3,""))</t>
        </r>
      </text>
    </comment>
    <comment ref="K81" authorId="0" shapeId="0" xr:uid="{8EEA85AE-3850-4654-AC70-DA65ACF82F93}">
      <text>
        <r>
          <rPr>
            <b/>
            <sz val="9"/>
            <color indexed="81"/>
            <rFont val="Tahoma"/>
            <family val="2"/>
          </rPr>
          <t>=IF($C81="","",IFERROR(CIQ($C81,"IQ_EBIT",K$68,vd,,,curr)*$L$3,""))</t>
        </r>
      </text>
    </comment>
    <comment ref="L81" authorId="0" shapeId="0" xr:uid="{3E737D42-7EC6-4FFA-8710-00A0B3AACA00}">
      <text>
        <r>
          <rPr>
            <b/>
            <sz val="9"/>
            <color indexed="81"/>
            <rFont val="Tahoma"/>
            <family val="2"/>
          </rPr>
          <t>=IF($C81="","",IFERROR(CIQ($C81,"IQ_EBIT",L$68,vd,,,curr)*$L$3,""))</t>
        </r>
      </text>
    </comment>
    <comment ref="M81" authorId="0" shapeId="0" xr:uid="{FDA719A5-03E0-433B-9D53-893C44AF749B}">
      <text>
        <r>
          <rPr>
            <b/>
            <sz val="9"/>
            <color indexed="81"/>
            <rFont val="Tahoma"/>
            <family val="2"/>
          </rPr>
          <t>=IF($C81="","",IFERROR(CIQ($C81,"IQ_EBIT",M$68,vd,,,curr)*$L$3,""))</t>
        </r>
      </text>
    </comment>
    <comment ref="N81" authorId="0" shapeId="0" xr:uid="{5C52908B-1A9A-4EDB-A284-32E166E81CDC}">
      <text>
        <r>
          <rPr>
            <b/>
            <sz val="9"/>
            <color indexed="81"/>
            <rFont val="Tahoma"/>
            <family val="2"/>
          </rPr>
          <t>=IF($C81="","",IFERROR(CIQ($C81,"IQ_EBIT",N$68,vd,,,curr)*$L$3,""))</t>
        </r>
      </text>
    </comment>
    <comment ref="D82" authorId="0" shapeId="0" xr:uid="{426EBC0B-0F67-4AD7-BA9C-82E3F8071850}">
      <text>
        <r>
          <rPr>
            <b/>
            <sz val="9"/>
            <color indexed="81"/>
            <rFont val="Tahoma"/>
            <family val="2"/>
          </rPr>
          <t>=IF($C82="","",IFERROR(CIQ($C82,"IQ_EBIT",D$68,vd,,,curr)*$L$3,""))</t>
        </r>
      </text>
    </comment>
    <comment ref="E82" authorId="0" shapeId="0" xr:uid="{5E25E513-08F4-4770-97AA-86AA4C425E96}">
      <text>
        <r>
          <rPr>
            <b/>
            <sz val="9"/>
            <color indexed="81"/>
            <rFont val="Tahoma"/>
            <family val="2"/>
          </rPr>
          <t>=IF($C82="","",IFERROR(CIQ($C82,"IQ_EBIT",E$68,vd,,,curr)*$L$3,""))</t>
        </r>
      </text>
    </comment>
    <comment ref="F82" authorId="0" shapeId="0" xr:uid="{108556D7-2D2A-4A04-B1D0-DFB54F460666}">
      <text>
        <r>
          <rPr>
            <b/>
            <sz val="9"/>
            <color indexed="81"/>
            <rFont val="Tahoma"/>
            <family val="2"/>
          </rPr>
          <t>=IF($C82="","",IFERROR(CIQ($C82,"IQ_EBIT",F$68,vd,,,curr)*$L$3,""))</t>
        </r>
      </text>
    </comment>
    <comment ref="G82" authorId="0" shapeId="0" xr:uid="{624A79E3-FA24-4487-AE98-FDAAD9EEC54E}">
      <text>
        <r>
          <rPr>
            <b/>
            <sz val="9"/>
            <color indexed="81"/>
            <rFont val="Tahoma"/>
            <family val="2"/>
          </rPr>
          <t>=IF($C82="","",IFERROR(CIQ($C82,"IQ_EBIT",G$68,vd,,,curr)*$L$3,""))</t>
        </r>
      </text>
    </comment>
    <comment ref="H82" authorId="0" shapeId="0" xr:uid="{321B7E0A-0DF6-4535-8BAB-42F23E133674}">
      <text>
        <r>
          <rPr>
            <b/>
            <sz val="9"/>
            <color indexed="81"/>
            <rFont val="Tahoma"/>
            <family val="2"/>
          </rPr>
          <t>=IF($C82="","",IFERROR(CIQ($C82,"IQ_EBIT",H$68,vd,,,curr)*$L$3,""))</t>
        </r>
      </text>
    </comment>
    <comment ref="I82" authorId="0" shapeId="0" xr:uid="{E4E0DC77-E292-40B6-8214-5D5AB8988E53}">
      <text>
        <r>
          <rPr>
            <b/>
            <sz val="9"/>
            <color indexed="81"/>
            <rFont val="Tahoma"/>
            <family val="2"/>
          </rPr>
          <t>=IF($C82="","",IFERROR(CIQ($C82,"IQ_EBIT",I$68,vd,,,curr)*$L$3,""))</t>
        </r>
      </text>
    </comment>
    <comment ref="J82" authorId="0" shapeId="0" xr:uid="{507CFDB5-A0E9-4524-BE47-D6907A608DD5}">
      <text>
        <r>
          <rPr>
            <b/>
            <sz val="9"/>
            <color indexed="81"/>
            <rFont val="Tahoma"/>
            <family val="2"/>
          </rPr>
          <t>=IF($C82="","",IFERROR(CIQ($C82,"IQ_EBIT",J$68,vd,,,curr)*$L$3,""))</t>
        </r>
      </text>
    </comment>
    <comment ref="K82" authorId="0" shapeId="0" xr:uid="{CCA1D54D-0A5E-4D67-A42D-78344BBA28F2}">
      <text>
        <r>
          <rPr>
            <b/>
            <sz val="9"/>
            <color indexed="81"/>
            <rFont val="Tahoma"/>
            <family val="2"/>
          </rPr>
          <t>=IF($C82="","",IFERROR(CIQ($C82,"IQ_EBIT",K$68,vd,,,curr)*$L$3,""))</t>
        </r>
      </text>
    </comment>
    <comment ref="L82" authorId="0" shapeId="0" xr:uid="{B30E4BF6-D78E-4F04-ADB8-C7A5791E0E0B}">
      <text>
        <r>
          <rPr>
            <b/>
            <sz val="9"/>
            <color indexed="81"/>
            <rFont val="Tahoma"/>
            <family val="2"/>
          </rPr>
          <t>=IF($C82="","",IFERROR(CIQ($C82,"IQ_EBIT",L$68,vd,,,curr)*$L$3,""))</t>
        </r>
      </text>
    </comment>
    <comment ref="M82" authorId="0" shapeId="0" xr:uid="{875FE6A4-ACD1-40D6-AC39-B5A72AE058FA}">
      <text>
        <r>
          <rPr>
            <b/>
            <sz val="9"/>
            <color indexed="81"/>
            <rFont val="Tahoma"/>
            <family val="2"/>
          </rPr>
          <t>=IF($C82="","",IFERROR(CIQ($C82,"IQ_EBIT",M$68,vd,,,curr)*$L$3,""))</t>
        </r>
      </text>
    </comment>
    <comment ref="N82" authorId="0" shapeId="0" xr:uid="{BF0BBCC6-1BDD-4B6C-89CC-B522B4838067}">
      <text>
        <r>
          <rPr>
            <b/>
            <sz val="9"/>
            <color indexed="81"/>
            <rFont val="Tahoma"/>
            <family val="2"/>
          </rPr>
          <t>=IF($C82="","",IFERROR(CIQ($C82,"IQ_EBIT",N$68,vd,,,curr)*$L$3,""))</t>
        </r>
      </text>
    </comment>
    <comment ref="D83" authorId="0" shapeId="0" xr:uid="{76F1C384-3996-4BD1-90E6-00FDD4EAE9CA}">
      <text>
        <r>
          <rPr>
            <b/>
            <sz val="9"/>
            <color indexed="81"/>
            <rFont val="Tahoma"/>
            <family val="2"/>
          </rPr>
          <t>=IF($C83="","",IFERROR(CIQ($C83,"IQ_EBIT",D$68,vd,,,curr)*$L$3,""))</t>
        </r>
      </text>
    </comment>
    <comment ref="E83" authorId="0" shapeId="0" xr:uid="{12AF59CA-E19A-4355-A62C-87511099CDE5}">
      <text>
        <r>
          <rPr>
            <b/>
            <sz val="9"/>
            <color indexed="81"/>
            <rFont val="Tahoma"/>
            <family val="2"/>
          </rPr>
          <t>=IF($C83="","",IFERROR(CIQ($C83,"IQ_EBIT",E$68,vd,,,curr)*$L$3,""))</t>
        </r>
      </text>
    </comment>
    <comment ref="F83" authorId="0" shapeId="0" xr:uid="{C1730EFC-2A9E-4BBF-9C3A-14C7FF280396}">
      <text>
        <r>
          <rPr>
            <b/>
            <sz val="9"/>
            <color indexed="81"/>
            <rFont val="Tahoma"/>
            <family val="2"/>
          </rPr>
          <t>=IF($C83="","",IFERROR(CIQ($C83,"IQ_EBIT",F$68,vd,,,curr)*$L$3,""))</t>
        </r>
      </text>
    </comment>
    <comment ref="G83" authorId="0" shapeId="0" xr:uid="{F82B8EFB-94A0-4F29-8D39-E7077384DB75}">
      <text>
        <r>
          <rPr>
            <b/>
            <sz val="9"/>
            <color indexed="81"/>
            <rFont val="Tahoma"/>
            <family val="2"/>
          </rPr>
          <t>=IF($C83="","",IFERROR(CIQ($C83,"IQ_EBIT",G$68,vd,,,curr)*$L$3,""))</t>
        </r>
      </text>
    </comment>
    <comment ref="H83" authorId="0" shapeId="0" xr:uid="{D4CD2EC0-699B-4B63-BB51-81967E7FAC99}">
      <text>
        <r>
          <rPr>
            <b/>
            <sz val="9"/>
            <color indexed="81"/>
            <rFont val="Tahoma"/>
            <family val="2"/>
          </rPr>
          <t>=IF($C83="","",IFERROR(CIQ($C83,"IQ_EBIT",H$68,vd,,,curr)*$L$3,""))</t>
        </r>
      </text>
    </comment>
    <comment ref="I83" authorId="0" shapeId="0" xr:uid="{789D873E-13C4-48FF-A8A0-C6F28C757E46}">
      <text>
        <r>
          <rPr>
            <b/>
            <sz val="9"/>
            <color indexed="81"/>
            <rFont val="Tahoma"/>
            <family val="2"/>
          </rPr>
          <t>=IF($C83="","",IFERROR(CIQ($C83,"IQ_EBIT",I$68,vd,,,curr)*$L$3,""))</t>
        </r>
      </text>
    </comment>
    <comment ref="J83" authorId="0" shapeId="0" xr:uid="{04EBB5FD-EB4C-4B16-883D-DFAD348BADDD}">
      <text>
        <r>
          <rPr>
            <b/>
            <sz val="9"/>
            <color indexed="81"/>
            <rFont val="Tahoma"/>
            <family val="2"/>
          </rPr>
          <t>=IF($C83="","",IFERROR(CIQ($C83,"IQ_EBIT",J$68,vd,,,curr)*$L$3,""))</t>
        </r>
      </text>
    </comment>
    <comment ref="K83" authorId="0" shapeId="0" xr:uid="{02B81820-5707-462F-A81F-C1F39A2237AD}">
      <text>
        <r>
          <rPr>
            <b/>
            <sz val="9"/>
            <color indexed="81"/>
            <rFont val="Tahoma"/>
            <family val="2"/>
          </rPr>
          <t>=IF($C83="","",IFERROR(CIQ($C83,"IQ_EBIT",K$68,vd,,,curr)*$L$3,""))</t>
        </r>
      </text>
    </comment>
    <comment ref="L83" authorId="0" shapeId="0" xr:uid="{5AAFE922-44DA-41CA-9DA1-764F7CAA8129}">
      <text>
        <r>
          <rPr>
            <b/>
            <sz val="9"/>
            <color indexed="81"/>
            <rFont val="Tahoma"/>
            <family val="2"/>
          </rPr>
          <t>=IF($C83="","",IFERROR(CIQ($C83,"IQ_EBIT",L$68,vd,,,curr)*$L$3,""))</t>
        </r>
      </text>
    </comment>
    <comment ref="M83" authorId="0" shapeId="0" xr:uid="{92CB4929-733D-4C94-BC4F-B12C3EA27632}">
      <text>
        <r>
          <rPr>
            <b/>
            <sz val="9"/>
            <color indexed="81"/>
            <rFont val="Tahoma"/>
            <family val="2"/>
          </rPr>
          <t>=IF($C83="","",IFERROR(CIQ($C83,"IQ_EBIT",M$68,vd,,,curr)*$L$3,""))</t>
        </r>
      </text>
    </comment>
    <comment ref="N83" authorId="0" shapeId="0" xr:uid="{2364DCD3-764B-4476-95C3-A1236CC93F25}">
      <text>
        <r>
          <rPr>
            <b/>
            <sz val="9"/>
            <color indexed="81"/>
            <rFont val="Tahoma"/>
            <family val="2"/>
          </rPr>
          <t>=IF($C83="","",IFERROR(CIQ($C83,"IQ_EBIT",N$68,vd,,,curr)*$L$3,""))</t>
        </r>
      </text>
    </comment>
    <comment ref="D89" authorId="0" shapeId="0" xr:uid="{071E245C-2961-47E8-955A-C865E35B78DE}">
      <text>
        <r>
          <rPr>
            <b/>
            <sz val="9"/>
            <color indexed="81"/>
            <rFont val="Tahoma"/>
            <family val="2"/>
          </rPr>
          <t>=IF($C89="","",IFERROR(CIQ($C89,"IQ_RETURN_INVESTED_CAPITAL",D$88,vd)/100,""))</t>
        </r>
      </text>
    </comment>
    <comment ref="E89" authorId="0" shapeId="0" xr:uid="{7F94C3F1-115B-4096-9A01-8CB9B50B9959}">
      <text>
        <r>
          <rPr>
            <b/>
            <sz val="9"/>
            <color indexed="81"/>
            <rFont val="Tahoma"/>
            <family val="2"/>
          </rPr>
          <t>=IF($C89="","",IFERROR(CIQ($C89,"IQ_RETURN_INVESTED_CAPITAL",E$88,vd)/100,""))</t>
        </r>
      </text>
    </comment>
    <comment ref="F89" authorId="0" shapeId="0" xr:uid="{0E6873CA-CAEB-4123-85C4-FCB54D4A6808}">
      <text>
        <r>
          <rPr>
            <b/>
            <sz val="9"/>
            <color indexed="81"/>
            <rFont val="Tahoma"/>
            <family val="2"/>
          </rPr>
          <t>=IF($C89="","",IFERROR(CIQ($C89,"IQ_RETURN_INVESTED_CAPITAL",F$88,vd)/100,""))</t>
        </r>
      </text>
    </comment>
    <comment ref="G89" authorId="0" shapeId="0" xr:uid="{877691B1-52B3-40C1-A9CB-3D002BA8DCE9}">
      <text>
        <r>
          <rPr>
            <b/>
            <sz val="9"/>
            <color indexed="81"/>
            <rFont val="Tahoma"/>
            <family val="2"/>
          </rPr>
          <t>=IF($C89="","",IFERROR(CIQ($C89,"IQ_RETURN_INVESTED_CAPITAL",G$88,vd)/100,""))</t>
        </r>
      </text>
    </comment>
    <comment ref="H89" authorId="0" shapeId="0" xr:uid="{3056B3DE-F27C-43D5-8AEB-05F8E22CEB8A}">
      <text>
        <r>
          <rPr>
            <b/>
            <sz val="9"/>
            <color indexed="81"/>
            <rFont val="Tahoma"/>
            <family val="2"/>
          </rPr>
          <t>=IF($C89="","",IFERROR(CIQ($C89,"IQ_RETURN_INVESTED_CAPITAL",H$88,vd)/100,""))</t>
        </r>
      </text>
    </comment>
    <comment ref="I89" authorId="0" shapeId="0" xr:uid="{E8A3712C-8FDD-40A2-907D-5D36ADFBC308}">
      <text>
        <r>
          <rPr>
            <b/>
            <sz val="9"/>
            <color indexed="81"/>
            <rFont val="Tahoma"/>
            <family val="2"/>
          </rPr>
          <t>=IF($C89="","",IFERROR(CIQ($C89,"IQ_RETURN_INVESTED_CAPITAL",I$88,vd)/100,""))</t>
        </r>
      </text>
    </comment>
    <comment ref="J89" authorId="0" shapeId="0" xr:uid="{AB8A0C08-05D0-4573-93B4-603E24477E4A}">
      <text>
        <r>
          <rPr>
            <b/>
            <sz val="9"/>
            <color indexed="81"/>
            <rFont val="Tahoma"/>
            <family val="2"/>
          </rPr>
          <t>=IF($C89="","",IFERROR(CIQ($C89,"IQ_RETURN_INVESTED_CAPITAL",J$88,vd)/100,""))</t>
        </r>
      </text>
    </comment>
    <comment ref="K89" authorId="0" shapeId="0" xr:uid="{D2F0A097-ED83-4510-ABAA-95D59D1F0EAC}">
      <text>
        <r>
          <rPr>
            <b/>
            <sz val="9"/>
            <color indexed="81"/>
            <rFont val="Tahoma"/>
            <family val="2"/>
          </rPr>
          <t>=IF($C89="","",IFERROR(CIQ($C89,"IQ_RETURN_INVESTED_CAPITAL",K$88,vd)/100,""))</t>
        </r>
      </text>
    </comment>
    <comment ref="L89" authorId="0" shapeId="0" xr:uid="{745A3C64-7478-48F2-8948-9FCE3ACEF459}">
      <text>
        <r>
          <rPr>
            <b/>
            <sz val="9"/>
            <color indexed="81"/>
            <rFont val="Tahoma"/>
            <family val="2"/>
          </rPr>
          <t>=IF($C89="","",IFERROR(CIQ($C89,"IQ_RETURN_INVESTED_CAPITAL",L$88,vd)/100,""))</t>
        </r>
      </text>
    </comment>
    <comment ref="M89" authorId="0" shapeId="0" xr:uid="{2932775B-C6D5-4ACD-9AC9-425CD411514F}">
      <text>
        <r>
          <rPr>
            <b/>
            <sz val="9"/>
            <color indexed="81"/>
            <rFont val="Tahoma"/>
            <family val="2"/>
          </rPr>
          <t>=IF($C89="","",IFERROR(CIQ($C89,"IQ_RETURN_INVESTED_CAPITAL",M$88,vd)/100,""))</t>
        </r>
      </text>
    </comment>
    <comment ref="N89" authorId="0" shapeId="0" xr:uid="{0CCD74F5-C1EC-4C77-A479-CF151E614119}">
      <text>
        <r>
          <rPr>
            <b/>
            <sz val="9"/>
            <color indexed="81"/>
            <rFont val="Tahoma"/>
            <family val="2"/>
          </rPr>
          <t>=IF($C89="","",IFERROR(CIQ($C89,"IQ_RETURN_INVESTED_CAPITAL",N$88,vd)/100,""))</t>
        </r>
      </text>
    </comment>
    <comment ref="D90" authorId="0" shapeId="0" xr:uid="{EED219F9-2493-48B4-A327-2646840F2019}">
      <text>
        <r>
          <rPr>
            <b/>
            <sz val="9"/>
            <color indexed="81"/>
            <rFont val="Tahoma"/>
            <family val="2"/>
          </rPr>
          <t>=IF($C90="","",IFERROR(CIQ($C90,"IQ_RETURN_INVESTED_CAPITAL",D$88,vd)/100,""))</t>
        </r>
      </text>
    </comment>
    <comment ref="E90" authorId="0" shapeId="0" xr:uid="{DF9C22E9-B446-4BF5-9D6C-0135A6FCCD2F}">
      <text>
        <r>
          <rPr>
            <b/>
            <sz val="9"/>
            <color indexed="81"/>
            <rFont val="Tahoma"/>
            <family val="2"/>
          </rPr>
          <t>=IF($C90="","",IFERROR(CIQ($C90,"IQ_RETURN_INVESTED_CAPITAL",E$88,vd)/100,""))</t>
        </r>
      </text>
    </comment>
    <comment ref="F90" authorId="0" shapeId="0" xr:uid="{EB1E30D5-2EF5-4083-BEA6-35EDDB758641}">
      <text>
        <r>
          <rPr>
            <b/>
            <sz val="9"/>
            <color indexed="81"/>
            <rFont val="Tahoma"/>
            <family val="2"/>
          </rPr>
          <t>=IF($C90="","",IFERROR(CIQ($C90,"IQ_RETURN_INVESTED_CAPITAL",F$88,vd)/100,""))</t>
        </r>
      </text>
    </comment>
    <comment ref="G90" authorId="0" shapeId="0" xr:uid="{DF560BEE-8331-48D2-A596-62996F1F73E2}">
      <text>
        <r>
          <rPr>
            <b/>
            <sz val="9"/>
            <color indexed="81"/>
            <rFont val="Tahoma"/>
            <family val="2"/>
          </rPr>
          <t>=IF($C90="","",IFERROR(CIQ($C90,"IQ_RETURN_INVESTED_CAPITAL",G$88,vd)/100,""))</t>
        </r>
      </text>
    </comment>
    <comment ref="H90" authorId="0" shapeId="0" xr:uid="{AFDCAEA2-5B4F-40F1-BD0F-7A4EF13C0E67}">
      <text>
        <r>
          <rPr>
            <b/>
            <sz val="9"/>
            <color indexed="81"/>
            <rFont val="Tahoma"/>
            <family val="2"/>
          </rPr>
          <t>=IF($C90="","",IFERROR(CIQ($C90,"IQ_RETURN_INVESTED_CAPITAL",H$88,vd)/100,""))</t>
        </r>
      </text>
    </comment>
    <comment ref="I90" authorId="0" shapeId="0" xr:uid="{4485D540-8662-4BE2-B311-5DF0F7811EC1}">
      <text>
        <r>
          <rPr>
            <b/>
            <sz val="9"/>
            <color indexed="81"/>
            <rFont val="Tahoma"/>
            <family val="2"/>
          </rPr>
          <t>=IF($C90="","",IFERROR(CIQ($C90,"IQ_RETURN_INVESTED_CAPITAL",I$88,vd)/100,""))</t>
        </r>
      </text>
    </comment>
    <comment ref="J90" authorId="0" shapeId="0" xr:uid="{1055B237-6A4C-4E7B-AEBE-B86820701F20}">
      <text>
        <r>
          <rPr>
            <b/>
            <sz val="9"/>
            <color indexed="81"/>
            <rFont val="Tahoma"/>
            <family val="2"/>
          </rPr>
          <t>=IF($C90="","",IFERROR(CIQ($C90,"IQ_RETURN_INVESTED_CAPITAL",J$88,vd)/100,""))</t>
        </r>
      </text>
    </comment>
    <comment ref="K90" authorId="0" shapeId="0" xr:uid="{B65D727A-0D7C-4D07-8E8E-1B6FD69DAE47}">
      <text>
        <r>
          <rPr>
            <b/>
            <sz val="9"/>
            <color indexed="81"/>
            <rFont val="Tahoma"/>
            <family val="2"/>
          </rPr>
          <t>=IF($C90="","",IFERROR(CIQ($C90,"IQ_RETURN_INVESTED_CAPITAL",K$88,vd)/100,""))</t>
        </r>
      </text>
    </comment>
    <comment ref="L90" authorId="0" shapeId="0" xr:uid="{3F22AB68-EBF7-43F5-8314-B4B659CA42A8}">
      <text>
        <r>
          <rPr>
            <b/>
            <sz val="9"/>
            <color indexed="81"/>
            <rFont val="Tahoma"/>
            <family val="2"/>
          </rPr>
          <t>=IF($C90="","",IFERROR(CIQ($C90,"IQ_RETURN_INVESTED_CAPITAL",L$88,vd)/100,""))</t>
        </r>
      </text>
    </comment>
    <comment ref="M90" authorId="0" shapeId="0" xr:uid="{F4BCB387-1A0F-4026-B4F6-B8C3B6A16A9C}">
      <text>
        <r>
          <rPr>
            <b/>
            <sz val="9"/>
            <color indexed="81"/>
            <rFont val="Tahoma"/>
            <family val="2"/>
          </rPr>
          <t>=IF($C90="","",IFERROR(CIQ($C90,"IQ_RETURN_INVESTED_CAPITAL",M$88,vd)/100,""))</t>
        </r>
      </text>
    </comment>
    <comment ref="N90" authorId="0" shapeId="0" xr:uid="{5FF8A685-7135-4263-9B58-ECEB6A398AD6}">
      <text>
        <r>
          <rPr>
            <b/>
            <sz val="9"/>
            <color indexed="81"/>
            <rFont val="Tahoma"/>
            <family val="2"/>
          </rPr>
          <t>=IF($C90="","",IFERROR(CIQ($C90,"IQ_RETURN_INVESTED_CAPITAL",N$88,vd)/100,""))</t>
        </r>
      </text>
    </comment>
    <comment ref="D91" authorId="0" shapeId="0" xr:uid="{2E2041A1-9D48-48A3-B76B-F928CDB3BBAE}">
      <text>
        <r>
          <rPr>
            <b/>
            <sz val="9"/>
            <color indexed="81"/>
            <rFont val="Tahoma"/>
            <family val="2"/>
          </rPr>
          <t>=IF($C91="","",IFERROR(CIQ($C91,"IQ_RETURN_INVESTED_CAPITAL",D$88,vd)/100,""))</t>
        </r>
      </text>
    </comment>
    <comment ref="E91" authorId="0" shapeId="0" xr:uid="{92C1B23C-F779-4D35-A417-2D7021C00B45}">
      <text>
        <r>
          <rPr>
            <b/>
            <sz val="9"/>
            <color indexed="81"/>
            <rFont val="Tahoma"/>
            <family val="2"/>
          </rPr>
          <t>=IF($C91="","",IFERROR(CIQ($C91,"IQ_RETURN_INVESTED_CAPITAL",E$88,vd)/100,""))</t>
        </r>
      </text>
    </comment>
    <comment ref="F91" authorId="0" shapeId="0" xr:uid="{8D8CCAF6-47BB-44AD-83D5-674D6E9B3F2B}">
      <text>
        <r>
          <rPr>
            <b/>
            <sz val="9"/>
            <color indexed="81"/>
            <rFont val="Tahoma"/>
            <family val="2"/>
          </rPr>
          <t>=IF($C91="","",IFERROR(CIQ($C91,"IQ_RETURN_INVESTED_CAPITAL",F$88,vd)/100,""))</t>
        </r>
      </text>
    </comment>
    <comment ref="G91" authorId="0" shapeId="0" xr:uid="{D3F50FA3-564F-462B-945B-070F7D4E6E78}">
      <text>
        <r>
          <rPr>
            <b/>
            <sz val="9"/>
            <color indexed="81"/>
            <rFont val="Tahoma"/>
            <family val="2"/>
          </rPr>
          <t>=IF($C91="","",IFERROR(CIQ($C91,"IQ_RETURN_INVESTED_CAPITAL",G$88,vd)/100,""))</t>
        </r>
      </text>
    </comment>
    <comment ref="H91" authorId="0" shapeId="0" xr:uid="{0A01A63D-5057-4F70-B77B-43A0FEE7E4A3}">
      <text>
        <r>
          <rPr>
            <b/>
            <sz val="9"/>
            <color indexed="81"/>
            <rFont val="Tahoma"/>
            <family val="2"/>
          </rPr>
          <t>=IF($C91="","",IFERROR(CIQ($C91,"IQ_RETURN_INVESTED_CAPITAL",H$88,vd)/100,""))</t>
        </r>
      </text>
    </comment>
    <comment ref="I91" authorId="0" shapeId="0" xr:uid="{3C04F20E-30BB-4566-9980-2EE865C228F4}">
      <text>
        <r>
          <rPr>
            <b/>
            <sz val="9"/>
            <color indexed="81"/>
            <rFont val="Tahoma"/>
            <family val="2"/>
          </rPr>
          <t>=IF($C91="","",IFERROR(CIQ($C91,"IQ_RETURN_INVESTED_CAPITAL",I$88,vd)/100,""))</t>
        </r>
      </text>
    </comment>
    <comment ref="J91" authorId="0" shapeId="0" xr:uid="{FA28B355-7A9A-4E8C-9B43-4B6FE93D7264}">
      <text>
        <r>
          <rPr>
            <b/>
            <sz val="9"/>
            <color indexed="81"/>
            <rFont val="Tahoma"/>
            <family val="2"/>
          </rPr>
          <t>=IF($C91="","",IFERROR(CIQ($C91,"IQ_RETURN_INVESTED_CAPITAL",J$88,vd)/100,""))</t>
        </r>
      </text>
    </comment>
    <comment ref="K91" authorId="0" shapeId="0" xr:uid="{691737E4-DFAF-42C4-80A9-A556B1B39BB2}">
      <text>
        <r>
          <rPr>
            <b/>
            <sz val="9"/>
            <color indexed="81"/>
            <rFont val="Tahoma"/>
            <family val="2"/>
          </rPr>
          <t>=IF($C91="","",IFERROR(CIQ($C91,"IQ_RETURN_INVESTED_CAPITAL",K$88,vd)/100,""))</t>
        </r>
      </text>
    </comment>
    <comment ref="L91" authorId="0" shapeId="0" xr:uid="{5DB7D360-636C-4A61-9B1A-1022B611A42F}">
      <text>
        <r>
          <rPr>
            <b/>
            <sz val="9"/>
            <color indexed="81"/>
            <rFont val="Tahoma"/>
            <family val="2"/>
          </rPr>
          <t>=IF($C91="","",IFERROR(CIQ($C91,"IQ_RETURN_INVESTED_CAPITAL",L$88,vd)/100,""))</t>
        </r>
      </text>
    </comment>
    <comment ref="M91" authorId="0" shapeId="0" xr:uid="{BE1ACC5D-29A7-491C-8734-CFA89569DD20}">
      <text>
        <r>
          <rPr>
            <b/>
            <sz val="9"/>
            <color indexed="81"/>
            <rFont val="Tahoma"/>
            <family val="2"/>
          </rPr>
          <t>=IF($C91="","",IFERROR(CIQ($C91,"IQ_RETURN_INVESTED_CAPITAL",M$88,vd)/100,""))</t>
        </r>
      </text>
    </comment>
    <comment ref="N91" authorId="0" shapeId="0" xr:uid="{52E6B6BD-A0A8-4915-B6BE-F12CFB56213F}">
      <text>
        <r>
          <rPr>
            <b/>
            <sz val="9"/>
            <color indexed="81"/>
            <rFont val="Tahoma"/>
            <family val="2"/>
          </rPr>
          <t>=IF($C91="","",IFERROR(CIQ($C91,"IQ_RETURN_INVESTED_CAPITAL",N$88,vd)/100,""))</t>
        </r>
      </text>
    </comment>
    <comment ref="D92" authorId="0" shapeId="0" xr:uid="{6511B03E-CAB6-480A-91DC-D36E5DC37951}">
      <text>
        <r>
          <rPr>
            <b/>
            <sz val="9"/>
            <color indexed="81"/>
            <rFont val="Tahoma"/>
            <family val="2"/>
          </rPr>
          <t>=IF($C92="","",IFERROR(CIQ($C92,"IQ_RETURN_INVESTED_CAPITAL",D$88,vd)/100,""))</t>
        </r>
      </text>
    </comment>
    <comment ref="E92" authorId="0" shapeId="0" xr:uid="{7ADF51EB-4DFA-41A6-814F-FC301331E735}">
      <text>
        <r>
          <rPr>
            <b/>
            <sz val="9"/>
            <color indexed="81"/>
            <rFont val="Tahoma"/>
            <family val="2"/>
          </rPr>
          <t>=IF($C92="","",IFERROR(CIQ($C92,"IQ_RETURN_INVESTED_CAPITAL",E$88,vd)/100,""))</t>
        </r>
      </text>
    </comment>
    <comment ref="F92" authorId="0" shapeId="0" xr:uid="{5D1B85F0-F006-4AE3-8129-7C0BB87B7995}">
      <text>
        <r>
          <rPr>
            <b/>
            <sz val="9"/>
            <color indexed="81"/>
            <rFont val="Tahoma"/>
            <family val="2"/>
          </rPr>
          <t>=IF($C92="","",IFERROR(CIQ($C92,"IQ_RETURN_INVESTED_CAPITAL",F$88,vd)/100,""))</t>
        </r>
      </text>
    </comment>
    <comment ref="G92" authorId="0" shapeId="0" xr:uid="{7BA77E16-61A1-4191-82CF-A809FCC7E27D}">
      <text>
        <r>
          <rPr>
            <b/>
            <sz val="9"/>
            <color indexed="81"/>
            <rFont val="Tahoma"/>
            <family val="2"/>
          </rPr>
          <t>=IF($C92="","",IFERROR(CIQ($C92,"IQ_RETURN_INVESTED_CAPITAL",G$88,vd)/100,""))</t>
        </r>
      </text>
    </comment>
    <comment ref="H92" authorId="0" shapeId="0" xr:uid="{DEEF2160-D3EB-47CE-8570-EBE5BB98661B}">
      <text>
        <r>
          <rPr>
            <b/>
            <sz val="9"/>
            <color indexed="81"/>
            <rFont val="Tahoma"/>
            <family val="2"/>
          </rPr>
          <t>=IF($C92="","",IFERROR(CIQ($C92,"IQ_RETURN_INVESTED_CAPITAL",H$88,vd)/100,""))</t>
        </r>
      </text>
    </comment>
    <comment ref="I92" authorId="0" shapeId="0" xr:uid="{BFC94B6A-1110-4DCC-99FC-AEB7A3F8F22E}">
      <text>
        <r>
          <rPr>
            <b/>
            <sz val="9"/>
            <color indexed="81"/>
            <rFont val="Tahoma"/>
            <family val="2"/>
          </rPr>
          <t>=IF($C92="","",IFERROR(CIQ($C92,"IQ_RETURN_INVESTED_CAPITAL",I$88,vd)/100,""))</t>
        </r>
      </text>
    </comment>
    <comment ref="J92" authorId="0" shapeId="0" xr:uid="{D0951C34-F359-41DC-9B69-713CB1623E6D}">
      <text>
        <r>
          <rPr>
            <b/>
            <sz val="9"/>
            <color indexed="81"/>
            <rFont val="Tahoma"/>
            <family val="2"/>
          </rPr>
          <t>=IF($C92="","",IFERROR(CIQ($C92,"IQ_RETURN_INVESTED_CAPITAL",J$88,vd)/100,""))</t>
        </r>
      </text>
    </comment>
    <comment ref="K92" authorId="0" shapeId="0" xr:uid="{9C4C7EA4-A61F-48E7-BD8D-AB11F585EA84}">
      <text>
        <r>
          <rPr>
            <b/>
            <sz val="9"/>
            <color indexed="81"/>
            <rFont val="Tahoma"/>
            <family val="2"/>
          </rPr>
          <t>=IF($C92="","",IFERROR(CIQ($C92,"IQ_RETURN_INVESTED_CAPITAL",K$88,vd)/100,""))</t>
        </r>
      </text>
    </comment>
    <comment ref="L92" authorId="0" shapeId="0" xr:uid="{EA7F7912-B3D2-4A4F-8B28-F56CA69FD9DE}">
      <text>
        <r>
          <rPr>
            <b/>
            <sz val="9"/>
            <color indexed="81"/>
            <rFont val="Tahoma"/>
            <family val="2"/>
          </rPr>
          <t>=IF($C92="","",IFERROR(CIQ($C92,"IQ_RETURN_INVESTED_CAPITAL",L$88,vd)/100,""))</t>
        </r>
      </text>
    </comment>
    <comment ref="M92" authorId="0" shapeId="0" xr:uid="{9FF7330A-3609-4B05-B782-967B35603261}">
      <text>
        <r>
          <rPr>
            <b/>
            <sz val="9"/>
            <color indexed="81"/>
            <rFont val="Tahoma"/>
            <family val="2"/>
          </rPr>
          <t>=IF($C92="","",IFERROR(CIQ($C92,"IQ_RETURN_INVESTED_CAPITAL",M$88,vd)/100,""))</t>
        </r>
      </text>
    </comment>
    <comment ref="N92" authorId="0" shapeId="0" xr:uid="{CE741D57-2EC9-4D22-90D7-66C0D03D7A4D}">
      <text>
        <r>
          <rPr>
            <b/>
            <sz val="9"/>
            <color indexed="81"/>
            <rFont val="Tahoma"/>
            <family val="2"/>
          </rPr>
          <t>=IF($C92="","",IFERROR(CIQ($C92,"IQ_RETURN_INVESTED_CAPITAL",N$88,vd)/100,""))</t>
        </r>
      </text>
    </comment>
    <comment ref="D93" authorId="0" shapeId="0" xr:uid="{819EEBEE-149E-4387-B954-7FC84A805BB1}">
      <text>
        <r>
          <rPr>
            <b/>
            <sz val="9"/>
            <color indexed="81"/>
            <rFont val="Tahoma"/>
            <family val="2"/>
          </rPr>
          <t>=IF($C93="","",IFERROR(CIQ($C93,"IQ_RETURN_INVESTED_CAPITAL",D$88,vd)/100,""))</t>
        </r>
      </text>
    </comment>
    <comment ref="E93" authorId="0" shapeId="0" xr:uid="{88DAF8D9-DD38-40A2-9081-EE233EB6C112}">
      <text>
        <r>
          <rPr>
            <b/>
            <sz val="9"/>
            <color indexed="81"/>
            <rFont val="Tahoma"/>
            <family val="2"/>
          </rPr>
          <t>=IF($C93="","",IFERROR(CIQ($C93,"IQ_RETURN_INVESTED_CAPITAL",E$88,vd)/100,""))</t>
        </r>
      </text>
    </comment>
    <comment ref="F93" authorId="0" shapeId="0" xr:uid="{AE28D242-C263-4297-99C7-ED8D0FCB5377}">
      <text>
        <r>
          <rPr>
            <b/>
            <sz val="9"/>
            <color indexed="81"/>
            <rFont val="Tahoma"/>
            <family val="2"/>
          </rPr>
          <t>=IF($C93="","",IFERROR(CIQ($C93,"IQ_RETURN_INVESTED_CAPITAL",F$88,vd)/100,""))</t>
        </r>
      </text>
    </comment>
    <comment ref="G93" authorId="0" shapeId="0" xr:uid="{F6F6EE48-5635-4AE6-90A2-8825C8074F43}">
      <text>
        <r>
          <rPr>
            <b/>
            <sz val="9"/>
            <color indexed="81"/>
            <rFont val="Tahoma"/>
            <family val="2"/>
          </rPr>
          <t>=IF($C93="","",IFERROR(CIQ($C93,"IQ_RETURN_INVESTED_CAPITAL",G$88,vd)/100,""))</t>
        </r>
      </text>
    </comment>
    <comment ref="H93" authorId="0" shapeId="0" xr:uid="{6552747A-8BEC-4D10-9AED-6BD341B88991}">
      <text>
        <r>
          <rPr>
            <b/>
            <sz val="9"/>
            <color indexed="81"/>
            <rFont val="Tahoma"/>
            <family val="2"/>
          </rPr>
          <t>=IF($C93="","",IFERROR(CIQ($C93,"IQ_RETURN_INVESTED_CAPITAL",H$88,vd)/100,""))</t>
        </r>
      </text>
    </comment>
    <comment ref="I93" authorId="0" shapeId="0" xr:uid="{6DB0A8FB-302A-4160-A7AA-7F370603C004}">
      <text>
        <r>
          <rPr>
            <b/>
            <sz val="9"/>
            <color indexed="81"/>
            <rFont val="Tahoma"/>
            <family val="2"/>
          </rPr>
          <t>=IF($C93="","",IFERROR(CIQ($C93,"IQ_RETURN_INVESTED_CAPITAL",I$88,vd)/100,""))</t>
        </r>
      </text>
    </comment>
    <comment ref="J93" authorId="0" shapeId="0" xr:uid="{749D79A4-3777-44FC-9D8D-EAB57EC3E72A}">
      <text>
        <r>
          <rPr>
            <b/>
            <sz val="9"/>
            <color indexed="81"/>
            <rFont val="Tahoma"/>
            <family val="2"/>
          </rPr>
          <t>=IF($C93="","",IFERROR(CIQ($C93,"IQ_RETURN_INVESTED_CAPITAL",J$88,vd)/100,""))</t>
        </r>
      </text>
    </comment>
    <comment ref="K93" authorId="0" shapeId="0" xr:uid="{DCA4EA86-17FF-469B-A92F-6524F0D865AA}">
      <text>
        <r>
          <rPr>
            <b/>
            <sz val="9"/>
            <color indexed="81"/>
            <rFont val="Tahoma"/>
            <family val="2"/>
          </rPr>
          <t>=IF($C93="","",IFERROR(CIQ($C93,"IQ_RETURN_INVESTED_CAPITAL",K$88,vd)/100,""))</t>
        </r>
      </text>
    </comment>
    <comment ref="L93" authorId="0" shapeId="0" xr:uid="{73957154-0E70-443B-90D8-93CC5FD274CE}">
      <text>
        <r>
          <rPr>
            <b/>
            <sz val="9"/>
            <color indexed="81"/>
            <rFont val="Tahoma"/>
            <family val="2"/>
          </rPr>
          <t>=IF($C93="","",IFERROR(CIQ($C93,"IQ_RETURN_INVESTED_CAPITAL",L$88,vd)/100,""))</t>
        </r>
      </text>
    </comment>
    <comment ref="M93" authorId="0" shapeId="0" xr:uid="{A58D19A5-95F3-4CFB-8465-3EB06D0712BA}">
      <text>
        <r>
          <rPr>
            <b/>
            <sz val="9"/>
            <color indexed="81"/>
            <rFont val="Tahoma"/>
            <family val="2"/>
          </rPr>
          <t>=IF($C93="","",IFERROR(CIQ($C93,"IQ_RETURN_INVESTED_CAPITAL",M$88,vd)/100,""))</t>
        </r>
      </text>
    </comment>
    <comment ref="N93" authorId="0" shapeId="0" xr:uid="{8F943FF9-75F3-46E9-8999-CECB96AD2D9B}">
      <text>
        <r>
          <rPr>
            <b/>
            <sz val="9"/>
            <color indexed="81"/>
            <rFont val="Tahoma"/>
            <family val="2"/>
          </rPr>
          <t>=IF($C93="","",IFERROR(CIQ($C93,"IQ_RETURN_INVESTED_CAPITAL",N$88,vd)/100,""))</t>
        </r>
      </text>
    </comment>
    <comment ref="D94" authorId="0" shapeId="0" xr:uid="{0D71EE01-567C-418A-9818-CFE12FD6B359}">
      <text>
        <r>
          <rPr>
            <b/>
            <sz val="9"/>
            <color indexed="81"/>
            <rFont val="Tahoma"/>
            <family val="2"/>
          </rPr>
          <t>=IF($C94="","",IFERROR(CIQ($C94,"IQ_RETURN_INVESTED_CAPITAL",D$88,vd)/100,""))</t>
        </r>
      </text>
    </comment>
    <comment ref="E94" authorId="0" shapeId="0" xr:uid="{B41A2F41-6EE8-4C51-A781-0B77832736B4}">
      <text>
        <r>
          <rPr>
            <b/>
            <sz val="9"/>
            <color indexed="81"/>
            <rFont val="Tahoma"/>
            <family val="2"/>
          </rPr>
          <t>=IF($C94="","",IFERROR(CIQ($C94,"IQ_RETURN_INVESTED_CAPITAL",E$88,vd)/100,""))</t>
        </r>
      </text>
    </comment>
    <comment ref="F94" authorId="0" shapeId="0" xr:uid="{D5F6AC9A-7A5B-4B0B-A091-2378974AF48E}">
      <text>
        <r>
          <rPr>
            <b/>
            <sz val="9"/>
            <color indexed="81"/>
            <rFont val="Tahoma"/>
            <family val="2"/>
          </rPr>
          <t>=IF($C94="","",IFERROR(CIQ($C94,"IQ_RETURN_INVESTED_CAPITAL",F$88,vd)/100,""))</t>
        </r>
      </text>
    </comment>
    <comment ref="G94" authorId="0" shapeId="0" xr:uid="{6F6BFBD8-FE66-458D-AC25-3BC9B98E6A51}">
      <text>
        <r>
          <rPr>
            <b/>
            <sz val="9"/>
            <color indexed="81"/>
            <rFont val="Tahoma"/>
            <family val="2"/>
          </rPr>
          <t>=IF($C94="","",IFERROR(CIQ($C94,"IQ_RETURN_INVESTED_CAPITAL",G$88,vd)/100,""))</t>
        </r>
      </text>
    </comment>
    <comment ref="H94" authorId="0" shapeId="0" xr:uid="{A9A96B88-4FCA-4098-847C-894BAD88A18B}">
      <text>
        <r>
          <rPr>
            <b/>
            <sz val="9"/>
            <color indexed="81"/>
            <rFont val="Tahoma"/>
            <family val="2"/>
          </rPr>
          <t>=IF($C94="","",IFERROR(CIQ($C94,"IQ_RETURN_INVESTED_CAPITAL",H$88,vd)/100,""))</t>
        </r>
      </text>
    </comment>
    <comment ref="I94" authorId="0" shapeId="0" xr:uid="{7D2AD728-2A04-47CF-8FB9-2CDD0BAC0133}">
      <text>
        <r>
          <rPr>
            <b/>
            <sz val="9"/>
            <color indexed="81"/>
            <rFont val="Tahoma"/>
            <family val="2"/>
          </rPr>
          <t>=IF($C94="","",IFERROR(CIQ($C94,"IQ_RETURN_INVESTED_CAPITAL",I$88,vd)/100,""))</t>
        </r>
      </text>
    </comment>
    <comment ref="J94" authorId="0" shapeId="0" xr:uid="{A5879F88-A5CE-4398-A7E9-2DA21663EB07}">
      <text>
        <r>
          <rPr>
            <b/>
            <sz val="9"/>
            <color indexed="81"/>
            <rFont val="Tahoma"/>
            <family val="2"/>
          </rPr>
          <t>=IF($C94="","",IFERROR(CIQ($C94,"IQ_RETURN_INVESTED_CAPITAL",J$88,vd)/100,""))</t>
        </r>
      </text>
    </comment>
    <comment ref="K94" authorId="0" shapeId="0" xr:uid="{E1F9C0F8-9AAC-469C-84DD-9BFBC8AC64A6}">
      <text>
        <r>
          <rPr>
            <b/>
            <sz val="9"/>
            <color indexed="81"/>
            <rFont val="Tahoma"/>
            <family val="2"/>
          </rPr>
          <t>=IF($C94="","",IFERROR(CIQ($C94,"IQ_RETURN_INVESTED_CAPITAL",K$88,vd)/100,""))</t>
        </r>
      </text>
    </comment>
    <comment ref="L94" authorId="0" shapeId="0" xr:uid="{4EF9FCA1-864F-4998-8669-F1FB56C6F041}">
      <text>
        <r>
          <rPr>
            <b/>
            <sz val="9"/>
            <color indexed="81"/>
            <rFont val="Tahoma"/>
            <family val="2"/>
          </rPr>
          <t>=IF($C94="","",IFERROR(CIQ($C94,"IQ_RETURN_INVESTED_CAPITAL",L$88,vd)/100,""))</t>
        </r>
      </text>
    </comment>
    <comment ref="M94" authorId="0" shapeId="0" xr:uid="{05C79D4B-8486-42D5-9F6A-96304D08C9CE}">
      <text>
        <r>
          <rPr>
            <b/>
            <sz val="9"/>
            <color indexed="81"/>
            <rFont val="Tahoma"/>
            <family val="2"/>
          </rPr>
          <t>=IF($C94="","",IFERROR(CIQ($C94,"IQ_RETURN_INVESTED_CAPITAL",M$88,vd)/100,""))</t>
        </r>
      </text>
    </comment>
    <comment ref="N94" authorId="0" shapeId="0" xr:uid="{A42D1125-FA9A-4179-9AC3-9935A42473C2}">
      <text>
        <r>
          <rPr>
            <b/>
            <sz val="9"/>
            <color indexed="81"/>
            <rFont val="Tahoma"/>
            <family val="2"/>
          </rPr>
          <t>=IF($C94="","",IFERROR(CIQ($C94,"IQ_RETURN_INVESTED_CAPITAL",N$88,vd)/100,""))</t>
        </r>
      </text>
    </comment>
    <comment ref="D95" authorId="0" shapeId="0" xr:uid="{38DE7DEC-45AE-4672-B3AC-0FBF47591513}">
      <text>
        <r>
          <rPr>
            <b/>
            <sz val="9"/>
            <color indexed="81"/>
            <rFont val="Tahoma"/>
            <family val="2"/>
          </rPr>
          <t>=IF($C95="","",IFERROR(CIQ($C95,"IQ_RETURN_INVESTED_CAPITAL",D$88,vd)/100,""))</t>
        </r>
      </text>
    </comment>
    <comment ref="E95" authorId="0" shapeId="0" xr:uid="{0DC0A1D7-39A0-4030-90B4-4D70CC20E365}">
      <text>
        <r>
          <rPr>
            <b/>
            <sz val="9"/>
            <color indexed="81"/>
            <rFont val="Tahoma"/>
            <family val="2"/>
          </rPr>
          <t>=IF($C95="","",IFERROR(CIQ($C95,"IQ_RETURN_INVESTED_CAPITAL",E$88,vd)/100,""))</t>
        </r>
      </text>
    </comment>
    <comment ref="F95" authorId="0" shapeId="0" xr:uid="{E81FEED8-0F18-4C59-8506-76065431340C}">
      <text>
        <r>
          <rPr>
            <b/>
            <sz val="9"/>
            <color indexed="81"/>
            <rFont val="Tahoma"/>
            <family val="2"/>
          </rPr>
          <t>=IF($C95="","",IFERROR(CIQ($C95,"IQ_RETURN_INVESTED_CAPITAL",F$88,vd)/100,""))</t>
        </r>
      </text>
    </comment>
    <comment ref="G95" authorId="0" shapeId="0" xr:uid="{D8D60FD4-9C5B-489F-8901-F823E08F6D79}">
      <text>
        <r>
          <rPr>
            <b/>
            <sz val="9"/>
            <color indexed="81"/>
            <rFont val="Tahoma"/>
            <family val="2"/>
          </rPr>
          <t>=IF($C95="","",IFERROR(CIQ($C95,"IQ_RETURN_INVESTED_CAPITAL",G$88,vd)/100,""))</t>
        </r>
      </text>
    </comment>
    <comment ref="H95" authorId="0" shapeId="0" xr:uid="{DBE06034-AD1E-432E-868D-008080B1CA5D}">
      <text>
        <r>
          <rPr>
            <b/>
            <sz val="9"/>
            <color indexed="81"/>
            <rFont val="Tahoma"/>
            <family val="2"/>
          </rPr>
          <t>=IF($C95="","",IFERROR(CIQ($C95,"IQ_RETURN_INVESTED_CAPITAL",H$88,vd)/100,""))</t>
        </r>
      </text>
    </comment>
    <comment ref="I95" authorId="0" shapeId="0" xr:uid="{BAB2E7CD-1FFF-4B2C-A51D-82D99342A6A3}">
      <text>
        <r>
          <rPr>
            <b/>
            <sz val="9"/>
            <color indexed="81"/>
            <rFont val="Tahoma"/>
            <family val="2"/>
          </rPr>
          <t>=IF($C95="","",IFERROR(CIQ($C95,"IQ_RETURN_INVESTED_CAPITAL",I$88,vd)/100,""))</t>
        </r>
      </text>
    </comment>
    <comment ref="J95" authorId="0" shapeId="0" xr:uid="{E38A5D1B-E93A-43BF-A777-8DDDF917B8F1}">
      <text>
        <r>
          <rPr>
            <b/>
            <sz val="9"/>
            <color indexed="81"/>
            <rFont val="Tahoma"/>
            <family val="2"/>
          </rPr>
          <t>=IF($C95="","",IFERROR(CIQ($C95,"IQ_RETURN_INVESTED_CAPITAL",J$88,vd)/100,""))</t>
        </r>
      </text>
    </comment>
    <comment ref="K95" authorId="0" shapeId="0" xr:uid="{38C6F20E-BD23-4F1C-AA50-FDE9B84B46E8}">
      <text>
        <r>
          <rPr>
            <b/>
            <sz val="9"/>
            <color indexed="81"/>
            <rFont val="Tahoma"/>
            <family val="2"/>
          </rPr>
          <t>=IF($C95="","",IFERROR(CIQ($C95,"IQ_RETURN_INVESTED_CAPITAL",K$88,vd)/100,""))</t>
        </r>
      </text>
    </comment>
    <comment ref="L95" authorId="0" shapeId="0" xr:uid="{2C5D1786-B10E-4501-8CCD-9A553A14AF0D}">
      <text>
        <r>
          <rPr>
            <b/>
            <sz val="9"/>
            <color indexed="81"/>
            <rFont val="Tahoma"/>
            <family val="2"/>
          </rPr>
          <t>=IF($C95="","",IFERROR(CIQ($C95,"IQ_RETURN_INVESTED_CAPITAL",L$88,vd)/100,""))</t>
        </r>
      </text>
    </comment>
    <comment ref="M95" authorId="0" shapeId="0" xr:uid="{8D22A037-80B4-4DE9-AB93-39C7C1695DDD}">
      <text>
        <r>
          <rPr>
            <b/>
            <sz val="9"/>
            <color indexed="81"/>
            <rFont val="Tahoma"/>
            <family val="2"/>
          </rPr>
          <t>=IF($C95="","",IFERROR(CIQ($C95,"IQ_RETURN_INVESTED_CAPITAL",M$88,vd)/100,""))</t>
        </r>
      </text>
    </comment>
    <comment ref="N95" authorId="0" shapeId="0" xr:uid="{78A2867D-776C-4538-AE51-FB8FA7E0CC81}">
      <text>
        <r>
          <rPr>
            <b/>
            <sz val="9"/>
            <color indexed="81"/>
            <rFont val="Tahoma"/>
            <family val="2"/>
          </rPr>
          <t>=IF($C95="","",IFERROR(CIQ($C95,"IQ_RETURN_INVESTED_CAPITAL",N$88,vd)/100,""))</t>
        </r>
      </text>
    </comment>
    <comment ref="D96" authorId="0" shapeId="0" xr:uid="{3063963D-1467-490A-9824-AA65D52755F7}">
      <text>
        <r>
          <rPr>
            <b/>
            <sz val="9"/>
            <color indexed="81"/>
            <rFont val="Tahoma"/>
            <family val="2"/>
          </rPr>
          <t>=IF($C96="","",IFERROR(CIQ($C96,"IQ_RETURN_INVESTED_CAPITAL",D$88,vd)/100,""))</t>
        </r>
      </text>
    </comment>
    <comment ref="E96" authorId="0" shapeId="0" xr:uid="{F793AE57-EE87-4CF2-AD0E-B0BD2CA50F1B}">
      <text>
        <r>
          <rPr>
            <b/>
            <sz val="9"/>
            <color indexed="81"/>
            <rFont val="Tahoma"/>
            <family val="2"/>
          </rPr>
          <t>=IF($C96="","",IFERROR(CIQ($C96,"IQ_RETURN_INVESTED_CAPITAL",E$88,vd)/100,""))</t>
        </r>
      </text>
    </comment>
    <comment ref="F96" authorId="0" shapeId="0" xr:uid="{2AD472C8-DC3D-450D-AE59-6EC92C01D06F}">
      <text>
        <r>
          <rPr>
            <b/>
            <sz val="9"/>
            <color indexed="81"/>
            <rFont val="Tahoma"/>
            <family val="2"/>
          </rPr>
          <t>=IF($C96="","",IFERROR(CIQ($C96,"IQ_RETURN_INVESTED_CAPITAL",F$88,vd)/100,""))</t>
        </r>
      </text>
    </comment>
    <comment ref="G96" authorId="0" shapeId="0" xr:uid="{55ECD202-1964-4024-8047-199719610380}">
      <text>
        <r>
          <rPr>
            <b/>
            <sz val="9"/>
            <color indexed="81"/>
            <rFont val="Tahoma"/>
            <family val="2"/>
          </rPr>
          <t>=IF($C96="","",IFERROR(CIQ($C96,"IQ_RETURN_INVESTED_CAPITAL",G$88,vd)/100,""))</t>
        </r>
      </text>
    </comment>
    <comment ref="H96" authorId="0" shapeId="0" xr:uid="{0CF17977-E819-44A5-A902-B647332B0A24}">
      <text>
        <r>
          <rPr>
            <b/>
            <sz val="9"/>
            <color indexed="81"/>
            <rFont val="Tahoma"/>
            <family val="2"/>
          </rPr>
          <t>=IF($C96="","",IFERROR(CIQ($C96,"IQ_RETURN_INVESTED_CAPITAL",H$88,vd)/100,""))</t>
        </r>
      </text>
    </comment>
    <comment ref="I96" authorId="0" shapeId="0" xr:uid="{13D7105B-D9F4-4D84-9B8B-98C18D929AE3}">
      <text>
        <r>
          <rPr>
            <b/>
            <sz val="9"/>
            <color indexed="81"/>
            <rFont val="Tahoma"/>
            <family val="2"/>
          </rPr>
          <t>=IF($C96="","",IFERROR(CIQ($C96,"IQ_RETURN_INVESTED_CAPITAL",I$88,vd)/100,""))</t>
        </r>
      </text>
    </comment>
    <comment ref="J96" authorId="0" shapeId="0" xr:uid="{17941595-7C09-4C48-8243-6CC0A872A172}">
      <text>
        <r>
          <rPr>
            <b/>
            <sz val="9"/>
            <color indexed="81"/>
            <rFont val="Tahoma"/>
            <family val="2"/>
          </rPr>
          <t>=IF($C96="","",IFERROR(CIQ($C96,"IQ_RETURN_INVESTED_CAPITAL",J$88,vd)/100,""))</t>
        </r>
      </text>
    </comment>
    <comment ref="K96" authorId="0" shapeId="0" xr:uid="{007FC0F7-97A5-4D0B-B6A0-90A5D6B31715}">
      <text>
        <r>
          <rPr>
            <b/>
            <sz val="9"/>
            <color indexed="81"/>
            <rFont val="Tahoma"/>
            <family val="2"/>
          </rPr>
          <t>=IF($C96="","",IFERROR(CIQ($C96,"IQ_RETURN_INVESTED_CAPITAL",K$88,vd)/100,""))</t>
        </r>
      </text>
    </comment>
    <comment ref="L96" authorId="0" shapeId="0" xr:uid="{38839470-F802-4D36-8C9C-8CA77B98E61C}">
      <text>
        <r>
          <rPr>
            <b/>
            <sz val="9"/>
            <color indexed="81"/>
            <rFont val="Tahoma"/>
            <family val="2"/>
          </rPr>
          <t>=IF($C96="","",IFERROR(CIQ($C96,"IQ_RETURN_INVESTED_CAPITAL",L$88,vd)/100,""))</t>
        </r>
      </text>
    </comment>
    <comment ref="M96" authorId="0" shapeId="0" xr:uid="{A12874A8-61BE-4E45-8E3A-3D6B859D914F}">
      <text>
        <r>
          <rPr>
            <b/>
            <sz val="9"/>
            <color indexed="81"/>
            <rFont val="Tahoma"/>
            <family val="2"/>
          </rPr>
          <t>=IF($C96="","",IFERROR(CIQ($C96,"IQ_RETURN_INVESTED_CAPITAL",M$88,vd)/100,""))</t>
        </r>
      </text>
    </comment>
    <comment ref="N96" authorId="0" shapeId="0" xr:uid="{4E3B4BEF-67D1-4878-AED5-C7AB8BAFF272}">
      <text>
        <r>
          <rPr>
            <b/>
            <sz val="9"/>
            <color indexed="81"/>
            <rFont val="Tahoma"/>
            <family val="2"/>
          </rPr>
          <t>=IF($C96="","",IFERROR(CIQ($C96,"IQ_RETURN_INVESTED_CAPITAL",N$88,vd)/100,""))</t>
        </r>
      </text>
    </comment>
    <comment ref="D97" authorId="0" shapeId="0" xr:uid="{6177FC0C-252D-4D94-B6DB-1C25DFAC7B25}">
      <text>
        <r>
          <rPr>
            <b/>
            <sz val="9"/>
            <color indexed="81"/>
            <rFont val="Tahoma"/>
            <family val="2"/>
          </rPr>
          <t>=IF($C97="","",IFERROR(CIQ($C97,"IQ_RETURN_INVESTED_CAPITAL",D$88,vd)/100,""))</t>
        </r>
      </text>
    </comment>
    <comment ref="E97" authorId="0" shapeId="0" xr:uid="{3AE7560E-C751-4F42-92F2-6D904CF0D323}">
      <text>
        <r>
          <rPr>
            <b/>
            <sz val="9"/>
            <color indexed="81"/>
            <rFont val="Tahoma"/>
            <family val="2"/>
          </rPr>
          <t>=IF($C97="","",IFERROR(CIQ($C97,"IQ_RETURN_INVESTED_CAPITAL",E$88,vd)/100,""))</t>
        </r>
      </text>
    </comment>
    <comment ref="F97" authorId="0" shapeId="0" xr:uid="{7582E7AA-CE07-46CE-8567-3C8340E47448}">
      <text>
        <r>
          <rPr>
            <b/>
            <sz val="9"/>
            <color indexed="81"/>
            <rFont val="Tahoma"/>
            <family val="2"/>
          </rPr>
          <t>=IF($C97="","",IFERROR(CIQ($C97,"IQ_RETURN_INVESTED_CAPITAL",F$88,vd)/100,""))</t>
        </r>
      </text>
    </comment>
    <comment ref="G97" authorId="0" shapeId="0" xr:uid="{5A8D9D66-3986-4992-B6FD-5EEE20864E5B}">
      <text>
        <r>
          <rPr>
            <b/>
            <sz val="9"/>
            <color indexed="81"/>
            <rFont val="Tahoma"/>
            <family val="2"/>
          </rPr>
          <t>=IF($C97="","",IFERROR(CIQ($C97,"IQ_RETURN_INVESTED_CAPITAL",G$88,vd)/100,""))</t>
        </r>
      </text>
    </comment>
    <comment ref="H97" authorId="0" shapeId="0" xr:uid="{DD4798BE-3B50-4350-AF75-2FD800DADB4F}">
      <text>
        <r>
          <rPr>
            <b/>
            <sz val="9"/>
            <color indexed="81"/>
            <rFont val="Tahoma"/>
            <family val="2"/>
          </rPr>
          <t>=IF($C97="","",IFERROR(CIQ($C97,"IQ_RETURN_INVESTED_CAPITAL",H$88,vd)/100,""))</t>
        </r>
      </text>
    </comment>
    <comment ref="I97" authorId="0" shapeId="0" xr:uid="{9C10848F-D53F-4ACF-A8C0-A3E956C93BDB}">
      <text>
        <r>
          <rPr>
            <b/>
            <sz val="9"/>
            <color indexed="81"/>
            <rFont val="Tahoma"/>
            <family val="2"/>
          </rPr>
          <t>=IF($C97="","",IFERROR(CIQ($C97,"IQ_RETURN_INVESTED_CAPITAL",I$88,vd)/100,""))</t>
        </r>
      </text>
    </comment>
    <comment ref="J97" authorId="0" shapeId="0" xr:uid="{213FB7AF-6C35-4746-8C7F-1AF0EF472D15}">
      <text>
        <r>
          <rPr>
            <b/>
            <sz val="9"/>
            <color indexed="81"/>
            <rFont val="Tahoma"/>
            <family val="2"/>
          </rPr>
          <t>=IF($C97="","",IFERROR(CIQ($C97,"IQ_RETURN_INVESTED_CAPITAL",J$88,vd)/100,""))</t>
        </r>
      </text>
    </comment>
    <comment ref="K97" authorId="0" shapeId="0" xr:uid="{CBDCC505-D81B-4E79-A701-F8875AA3A042}">
      <text>
        <r>
          <rPr>
            <b/>
            <sz val="9"/>
            <color indexed="81"/>
            <rFont val="Tahoma"/>
            <family val="2"/>
          </rPr>
          <t>=IF($C97="","",IFERROR(CIQ($C97,"IQ_RETURN_INVESTED_CAPITAL",K$88,vd)/100,""))</t>
        </r>
      </text>
    </comment>
    <comment ref="L97" authorId="0" shapeId="0" xr:uid="{3E741CC9-B0A6-4955-B97A-FA5419565871}">
      <text>
        <r>
          <rPr>
            <b/>
            <sz val="9"/>
            <color indexed="81"/>
            <rFont val="Tahoma"/>
            <family val="2"/>
          </rPr>
          <t>=IF($C97="","",IFERROR(CIQ($C97,"IQ_RETURN_INVESTED_CAPITAL",L$88,vd)/100,""))</t>
        </r>
      </text>
    </comment>
    <comment ref="M97" authorId="0" shapeId="0" xr:uid="{37EB1FA0-0F5A-4083-817E-FAF7CB9B5238}">
      <text>
        <r>
          <rPr>
            <b/>
            <sz val="9"/>
            <color indexed="81"/>
            <rFont val="Tahoma"/>
            <family val="2"/>
          </rPr>
          <t>=IF($C97="","",IFERROR(CIQ($C97,"IQ_RETURN_INVESTED_CAPITAL",M$88,vd)/100,""))</t>
        </r>
      </text>
    </comment>
    <comment ref="N97" authorId="0" shapeId="0" xr:uid="{59D1C24A-4ABF-4E06-B69C-2468918CB47D}">
      <text>
        <r>
          <rPr>
            <b/>
            <sz val="9"/>
            <color indexed="81"/>
            <rFont val="Tahoma"/>
            <family val="2"/>
          </rPr>
          <t>=IF($C97="","",IFERROR(CIQ($C97,"IQ_RETURN_INVESTED_CAPITAL",N$88,vd)/100,""))</t>
        </r>
      </text>
    </comment>
    <comment ref="D98" authorId="0" shapeId="0" xr:uid="{74DE89B3-74D8-4ECB-8F9D-CC7843098D0C}">
      <text>
        <r>
          <rPr>
            <b/>
            <sz val="9"/>
            <color indexed="81"/>
            <rFont val="Tahoma"/>
            <family val="2"/>
          </rPr>
          <t>=IF($C98="","",IFERROR(CIQ($C98,"IQ_RETURN_INVESTED_CAPITAL",D$88,vd)/100,""))</t>
        </r>
      </text>
    </comment>
    <comment ref="E98" authorId="0" shapeId="0" xr:uid="{999E05BA-394F-4F96-BDB4-BB1C0AC34F8E}">
      <text>
        <r>
          <rPr>
            <b/>
            <sz val="9"/>
            <color indexed="81"/>
            <rFont val="Tahoma"/>
            <family val="2"/>
          </rPr>
          <t>=IF($C98="","",IFERROR(CIQ($C98,"IQ_RETURN_INVESTED_CAPITAL",E$88,vd)/100,""))</t>
        </r>
      </text>
    </comment>
    <comment ref="F98" authorId="0" shapeId="0" xr:uid="{F03AC238-A245-48C9-BD2E-5F01AA991877}">
      <text>
        <r>
          <rPr>
            <b/>
            <sz val="9"/>
            <color indexed="81"/>
            <rFont val="Tahoma"/>
            <family val="2"/>
          </rPr>
          <t>=IF($C98="","",IFERROR(CIQ($C98,"IQ_RETURN_INVESTED_CAPITAL",F$88,vd)/100,""))</t>
        </r>
      </text>
    </comment>
    <comment ref="G98" authorId="0" shapeId="0" xr:uid="{3DBDA68E-B917-4997-B62E-E1BA233DCF72}">
      <text>
        <r>
          <rPr>
            <b/>
            <sz val="9"/>
            <color indexed="81"/>
            <rFont val="Tahoma"/>
            <family val="2"/>
          </rPr>
          <t>=IF($C98="","",IFERROR(CIQ($C98,"IQ_RETURN_INVESTED_CAPITAL",G$88,vd)/100,""))</t>
        </r>
      </text>
    </comment>
    <comment ref="H98" authorId="0" shapeId="0" xr:uid="{E6FD321A-53E6-4362-8E62-F3812571DA00}">
      <text>
        <r>
          <rPr>
            <b/>
            <sz val="9"/>
            <color indexed="81"/>
            <rFont val="Tahoma"/>
            <family val="2"/>
          </rPr>
          <t>=IF($C98="","",IFERROR(CIQ($C98,"IQ_RETURN_INVESTED_CAPITAL",H$88,vd)/100,""))</t>
        </r>
      </text>
    </comment>
    <comment ref="I98" authorId="0" shapeId="0" xr:uid="{DE76C56B-0FAA-4886-93AA-1F95715C3842}">
      <text>
        <r>
          <rPr>
            <b/>
            <sz val="9"/>
            <color indexed="81"/>
            <rFont val="Tahoma"/>
            <family val="2"/>
          </rPr>
          <t>=IF($C98="","",IFERROR(CIQ($C98,"IQ_RETURN_INVESTED_CAPITAL",I$88,vd)/100,""))</t>
        </r>
      </text>
    </comment>
    <comment ref="J98" authorId="0" shapeId="0" xr:uid="{A02CD51D-62AB-46DD-9383-1AAEA68980B1}">
      <text>
        <r>
          <rPr>
            <b/>
            <sz val="9"/>
            <color indexed="81"/>
            <rFont val="Tahoma"/>
            <family val="2"/>
          </rPr>
          <t>=IF($C98="","",IFERROR(CIQ($C98,"IQ_RETURN_INVESTED_CAPITAL",J$88,vd)/100,""))</t>
        </r>
      </text>
    </comment>
    <comment ref="K98" authorId="0" shapeId="0" xr:uid="{E8F5CAE1-510B-4F2C-BF0D-D1190D3ADA05}">
      <text>
        <r>
          <rPr>
            <b/>
            <sz val="9"/>
            <color indexed="81"/>
            <rFont val="Tahoma"/>
            <family val="2"/>
          </rPr>
          <t>=IF($C98="","",IFERROR(CIQ($C98,"IQ_RETURN_INVESTED_CAPITAL",K$88,vd)/100,""))</t>
        </r>
      </text>
    </comment>
    <comment ref="L98" authorId="0" shapeId="0" xr:uid="{FD3FFFEF-E93C-45B0-B7B6-2AA628900861}">
      <text>
        <r>
          <rPr>
            <b/>
            <sz val="9"/>
            <color indexed="81"/>
            <rFont val="Tahoma"/>
            <family val="2"/>
          </rPr>
          <t>=IF($C98="","",IFERROR(CIQ($C98,"IQ_RETURN_INVESTED_CAPITAL",L$88,vd)/100,""))</t>
        </r>
      </text>
    </comment>
    <comment ref="M98" authorId="0" shapeId="0" xr:uid="{E067EC3E-1A38-45CE-AEA4-2062563A3F2A}">
      <text>
        <r>
          <rPr>
            <b/>
            <sz val="9"/>
            <color indexed="81"/>
            <rFont val="Tahoma"/>
            <family val="2"/>
          </rPr>
          <t>=IF($C98="","",IFERROR(CIQ($C98,"IQ_RETURN_INVESTED_CAPITAL",M$88,vd)/100,""))</t>
        </r>
      </text>
    </comment>
    <comment ref="N98" authorId="0" shapeId="0" xr:uid="{2B5DCCA0-F3D9-4ABF-B475-B390F94A0E0A}">
      <text>
        <r>
          <rPr>
            <b/>
            <sz val="9"/>
            <color indexed="81"/>
            <rFont val="Tahoma"/>
            <family val="2"/>
          </rPr>
          <t>=IF($C98="","",IFERROR(CIQ($C98,"IQ_RETURN_INVESTED_CAPITAL",N$88,vd)/100,""))</t>
        </r>
      </text>
    </comment>
    <comment ref="D99" authorId="0" shapeId="0" xr:uid="{BACF2FA9-09F1-4783-B1B7-9003E69EF5C4}">
      <text>
        <r>
          <rPr>
            <b/>
            <sz val="9"/>
            <color indexed="81"/>
            <rFont val="Tahoma"/>
            <family val="2"/>
          </rPr>
          <t>=IF($C99="","",IFERROR(CIQ($C99,"IQ_RETURN_INVESTED_CAPITAL",D$88,vd)/100,""))</t>
        </r>
      </text>
    </comment>
    <comment ref="E99" authorId="0" shapeId="0" xr:uid="{C3A02F23-F3D5-4137-927A-16778008D5BC}">
      <text>
        <r>
          <rPr>
            <b/>
            <sz val="9"/>
            <color indexed="81"/>
            <rFont val="Tahoma"/>
            <family val="2"/>
          </rPr>
          <t>=IF($C99="","",IFERROR(CIQ($C99,"IQ_RETURN_INVESTED_CAPITAL",E$88,vd)/100,""))</t>
        </r>
      </text>
    </comment>
    <comment ref="F99" authorId="0" shapeId="0" xr:uid="{0DAB0F6C-BCA2-41AB-A3F1-FCB93756F3D4}">
      <text>
        <r>
          <rPr>
            <b/>
            <sz val="9"/>
            <color indexed="81"/>
            <rFont val="Tahoma"/>
            <family val="2"/>
          </rPr>
          <t>=IF($C99="","",IFERROR(CIQ($C99,"IQ_RETURN_INVESTED_CAPITAL",F$88,vd)/100,""))</t>
        </r>
      </text>
    </comment>
    <comment ref="G99" authorId="0" shapeId="0" xr:uid="{915CB8C8-EAD5-48C1-8EA3-AF27909F67E5}">
      <text>
        <r>
          <rPr>
            <b/>
            <sz val="9"/>
            <color indexed="81"/>
            <rFont val="Tahoma"/>
            <family val="2"/>
          </rPr>
          <t>=IF($C99="","",IFERROR(CIQ($C99,"IQ_RETURN_INVESTED_CAPITAL",G$88,vd)/100,""))</t>
        </r>
      </text>
    </comment>
    <comment ref="H99" authorId="0" shapeId="0" xr:uid="{E93D76A7-6278-420F-A214-D1004E077683}">
      <text>
        <r>
          <rPr>
            <b/>
            <sz val="9"/>
            <color indexed="81"/>
            <rFont val="Tahoma"/>
            <family val="2"/>
          </rPr>
          <t>=IF($C99="","",IFERROR(CIQ($C99,"IQ_RETURN_INVESTED_CAPITAL",H$88,vd)/100,""))</t>
        </r>
      </text>
    </comment>
    <comment ref="I99" authorId="0" shapeId="0" xr:uid="{DB7E56B3-4D3C-4EBD-9D79-1A90D98C0A15}">
      <text>
        <r>
          <rPr>
            <b/>
            <sz val="9"/>
            <color indexed="81"/>
            <rFont val="Tahoma"/>
            <family val="2"/>
          </rPr>
          <t>=IF($C99="","",IFERROR(CIQ($C99,"IQ_RETURN_INVESTED_CAPITAL",I$88,vd)/100,""))</t>
        </r>
      </text>
    </comment>
    <comment ref="J99" authorId="0" shapeId="0" xr:uid="{FDE06443-2E3C-4858-BF74-E3A9A3A2551E}">
      <text>
        <r>
          <rPr>
            <b/>
            <sz val="9"/>
            <color indexed="81"/>
            <rFont val="Tahoma"/>
            <family val="2"/>
          </rPr>
          <t>=IF($C99="","",IFERROR(CIQ($C99,"IQ_RETURN_INVESTED_CAPITAL",J$88,vd)/100,""))</t>
        </r>
      </text>
    </comment>
    <comment ref="K99" authorId="0" shapeId="0" xr:uid="{948CE117-5CB7-4CA5-8A86-C9145A836CAD}">
      <text>
        <r>
          <rPr>
            <b/>
            <sz val="9"/>
            <color indexed="81"/>
            <rFont val="Tahoma"/>
            <family val="2"/>
          </rPr>
          <t>=IF($C99="","",IFERROR(CIQ($C99,"IQ_RETURN_INVESTED_CAPITAL",K$88,vd)/100,""))</t>
        </r>
      </text>
    </comment>
    <comment ref="L99" authorId="0" shapeId="0" xr:uid="{FD7AEDBA-EB0A-4C9E-B548-CD1DFDB99BE3}">
      <text>
        <r>
          <rPr>
            <b/>
            <sz val="9"/>
            <color indexed="81"/>
            <rFont val="Tahoma"/>
            <family val="2"/>
          </rPr>
          <t>=IF($C99="","",IFERROR(CIQ($C99,"IQ_RETURN_INVESTED_CAPITAL",L$88,vd)/100,""))</t>
        </r>
      </text>
    </comment>
    <comment ref="M99" authorId="0" shapeId="0" xr:uid="{80D0A052-7239-407A-A385-E28155DF53EA}">
      <text>
        <r>
          <rPr>
            <b/>
            <sz val="9"/>
            <color indexed="81"/>
            <rFont val="Tahoma"/>
            <family val="2"/>
          </rPr>
          <t>=IF($C99="","",IFERROR(CIQ($C99,"IQ_RETURN_INVESTED_CAPITAL",M$88,vd)/100,""))</t>
        </r>
      </text>
    </comment>
    <comment ref="N99" authorId="0" shapeId="0" xr:uid="{E6880109-BEF5-4E0E-9BE0-314C99AD9B4C}">
      <text>
        <r>
          <rPr>
            <b/>
            <sz val="9"/>
            <color indexed="81"/>
            <rFont val="Tahoma"/>
            <family val="2"/>
          </rPr>
          <t>=IF($C99="","",IFERROR(CIQ($C99,"IQ_RETURN_INVESTED_CAPITAL",N$88,vd)/100,""))</t>
        </r>
      </text>
    </comment>
    <comment ref="D100" authorId="0" shapeId="0" xr:uid="{EC081883-9895-4798-9151-A53D4F2AE676}">
      <text>
        <r>
          <rPr>
            <b/>
            <sz val="9"/>
            <color indexed="81"/>
            <rFont val="Tahoma"/>
            <family val="2"/>
          </rPr>
          <t>=IF($C100="","",IFERROR(CIQ($C100,"IQ_RETURN_INVESTED_CAPITAL",D$88,vd)/100,""))</t>
        </r>
      </text>
    </comment>
    <comment ref="E100" authorId="0" shapeId="0" xr:uid="{3EA957E2-1FC5-4A3D-9E8A-5A1D00043030}">
      <text>
        <r>
          <rPr>
            <b/>
            <sz val="9"/>
            <color indexed="81"/>
            <rFont val="Tahoma"/>
            <family val="2"/>
          </rPr>
          <t>=IF($C100="","",IFERROR(CIQ($C100,"IQ_RETURN_INVESTED_CAPITAL",E$88,vd)/100,""))</t>
        </r>
      </text>
    </comment>
    <comment ref="F100" authorId="0" shapeId="0" xr:uid="{49737DE9-179B-423E-9B9E-A8723F81B686}">
      <text>
        <r>
          <rPr>
            <b/>
            <sz val="9"/>
            <color indexed="81"/>
            <rFont val="Tahoma"/>
            <family val="2"/>
          </rPr>
          <t>=IF($C100="","",IFERROR(CIQ($C100,"IQ_RETURN_INVESTED_CAPITAL",F$88,vd)/100,""))</t>
        </r>
      </text>
    </comment>
    <comment ref="G100" authorId="0" shapeId="0" xr:uid="{14158E0F-14EE-4D7E-BE6C-D6E66A61028D}">
      <text>
        <r>
          <rPr>
            <b/>
            <sz val="9"/>
            <color indexed="81"/>
            <rFont val="Tahoma"/>
            <family val="2"/>
          </rPr>
          <t>=IF($C100="","",IFERROR(CIQ($C100,"IQ_RETURN_INVESTED_CAPITAL",G$88,vd)/100,""))</t>
        </r>
      </text>
    </comment>
    <comment ref="H100" authorId="0" shapeId="0" xr:uid="{B7000A83-BC7F-422A-9EEC-3C870F53D8E2}">
      <text>
        <r>
          <rPr>
            <b/>
            <sz val="9"/>
            <color indexed="81"/>
            <rFont val="Tahoma"/>
            <family val="2"/>
          </rPr>
          <t>=IF($C100="","",IFERROR(CIQ($C100,"IQ_RETURN_INVESTED_CAPITAL",H$88,vd)/100,""))</t>
        </r>
      </text>
    </comment>
    <comment ref="I100" authorId="0" shapeId="0" xr:uid="{34ED0E5D-87ED-452F-9107-32AB73AC5618}">
      <text>
        <r>
          <rPr>
            <b/>
            <sz val="9"/>
            <color indexed="81"/>
            <rFont val="Tahoma"/>
            <family val="2"/>
          </rPr>
          <t>=IF($C100="","",IFERROR(CIQ($C100,"IQ_RETURN_INVESTED_CAPITAL",I$88,vd)/100,""))</t>
        </r>
      </text>
    </comment>
    <comment ref="J100" authorId="0" shapeId="0" xr:uid="{6A72F4E3-657C-41F7-BCE3-E0B67F530654}">
      <text>
        <r>
          <rPr>
            <b/>
            <sz val="9"/>
            <color indexed="81"/>
            <rFont val="Tahoma"/>
            <family val="2"/>
          </rPr>
          <t>=IF($C100="","",IFERROR(CIQ($C100,"IQ_RETURN_INVESTED_CAPITAL",J$88,vd)/100,""))</t>
        </r>
      </text>
    </comment>
    <comment ref="K100" authorId="0" shapeId="0" xr:uid="{7960E13C-4F4C-44C8-8EE4-19F9A31A6DC2}">
      <text>
        <r>
          <rPr>
            <b/>
            <sz val="9"/>
            <color indexed="81"/>
            <rFont val="Tahoma"/>
            <family val="2"/>
          </rPr>
          <t>=IF($C100="","",IFERROR(CIQ($C100,"IQ_RETURN_INVESTED_CAPITAL",K$88,vd)/100,""))</t>
        </r>
      </text>
    </comment>
    <comment ref="L100" authorId="0" shapeId="0" xr:uid="{DA1F11CA-3F8A-4528-A5FF-923D271D2D46}">
      <text>
        <r>
          <rPr>
            <b/>
            <sz val="9"/>
            <color indexed="81"/>
            <rFont val="Tahoma"/>
            <family val="2"/>
          </rPr>
          <t>=IF($C100="","",IFERROR(CIQ($C100,"IQ_RETURN_INVESTED_CAPITAL",L$88,vd)/100,""))</t>
        </r>
      </text>
    </comment>
    <comment ref="M100" authorId="0" shapeId="0" xr:uid="{9EA02B8D-3377-4F29-ACAC-EB8A2E560A92}">
      <text>
        <r>
          <rPr>
            <b/>
            <sz val="9"/>
            <color indexed="81"/>
            <rFont val="Tahoma"/>
            <family val="2"/>
          </rPr>
          <t>=IF($C100="","",IFERROR(CIQ($C100,"IQ_RETURN_INVESTED_CAPITAL",M$88,vd)/100,""))</t>
        </r>
      </text>
    </comment>
    <comment ref="N100" authorId="0" shapeId="0" xr:uid="{CCB4B86B-0E41-45FA-B034-64E6CC1F6DBA}">
      <text>
        <r>
          <rPr>
            <b/>
            <sz val="9"/>
            <color indexed="81"/>
            <rFont val="Tahoma"/>
            <family val="2"/>
          </rPr>
          <t>=IF($C100="","",IFERROR(CIQ($C100,"IQ_RETURN_INVESTED_CAPITAL",N$88,vd)/100,""))</t>
        </r>
      </text>
    </comment>
    <comment ref="D101" authorId="0" shapeId="0" xr:uid="{61B6CB2D-8E92-4204-801A-8A614F26B13C}">
      <text>
        <r>
          <rPr>
            <b/>
            <sz val="9"/>
            <color indexed="81"/>
            <rFont val="Tahoma"/>
            <family val="2"/>
          </rPr>
          <t>=IF($C101="","",IFERROR(CIQ($C101,"IQ_RETURN_INVESTED_CAPITAL",D$88,vd)/100,""))</t>
        </r>
      </text>
    </comment>
    <comment ref="E101" authorId="0" shapeId="0" xr:uid="{73F68D5A-E156-4BD1-AE00-6C9C3A67E81C}">
      <text>
        <r>
          <rPr>
            <b/>
            <sz val="9"/>
            <color indexed="81"/>
            <rFont val="Tahoma"/>
            <family val="2"/>
          </rPr>
          <t>=IF($C101="","",IFERROR(CIQ($C101,"IQ_RETURN_INVESTED_CAPITAL",E$88,vd)/100,""))</t>
        </r>
      </text>
    </comment>
    <comment ref="F101" authorId="0" shapeId="0" xr:uid="{D03C3063-2B02-4863-9769-6B60CCC202EE}">
      <text>
        <r>
          <rPr>
            <b/>
            <sz val="9"/>
            <color indexed="81"/>
            <rFont val="Tahoma"/>
            <family val="2"/>
          </rPr>
          <t>=IF($C101="","",IFERROR(CIQ($C101,"IQ_RETURN_INVESTED_CAPITAL",F$88,vd)/100,""))</t>
        </r>
      </text>
    </comment>
    <comment ref="G101" authorId="0" shapeId="0" xr:uid="{9ED60B2B-8923-4C5A-89E3-D99E64A75098}">
      <text>
        <r>
          <rPr>
            <b/>
            <sz val="9"/>
            <color indexed="81"/>
            <rFont val="Tahoma"/>
            <family val="2"/>
          </rPr>
          <t>=IF($C101="","",IFERROR(CIQ($C101,"IQ_RETURN_INVESTED_CAPITAL",G$88,vd)/100,""))</t>
        </r>
      </text>
    </comment>
    <comment ref="H101" authorId="0" shapeId="0" xr:uid="{DF053C9B-CC07-4B91-BDA3-B1DBB3E35EBA}">
      <text>
        <r>
          <rPr>
            <b/>
            <sz val="9"/>
            <color indexed="81"/>
            <rFont val="Tahoma"/>
            <family val="2"/>
          </rPr>
          <t>=IF($C101="","",IFERROR(CIQ($C101,"IQ_RETURN_INVESTED_CAPITAL",H$88,vd)/100,""))</t>
        </r>
      </text>
    </comment>
    <comment ref="I101" authorId="0" shapeId="0" xr:uid="{6B1003DC-C0C5-495D-9532-28140104CED6}">
      <text>
        <r>
          <rPr>
            <b/>
            <sz val="9"/>
            <color indexed="81"/>
            <rFont val="Tahoma"/>
            <family val="2"/>
          </rPr>
          <t>=IF($C101="","",IFERROR(CIQ($C101,"IQ_RETURN_INVESTED_CAPITAL",I$88,vd)/100,""))</t>
        </r>
      </text>
    </comment>
    <comment ref="J101" authorId="0" shapeId="0" xr:uid="{73E62FE5-D0E1-4BF7-8B42-C9E1B93599EE}">
      <text>
        <r>
          <rPr>
            <b/>
            <sz val="9"/>
            <color indexed="81"/>
            <rFont val="Tahoma"/>
            <family val="2"/>
          </rPr>
          <t>=IF($C101="","",IFERROR(CIQ($C101,"IQ_RETURN_INVESTED_CAPITAL",J$88,vd)/100,""))</t>
        </r>
      </text>
    </comment>
    <comment ref="K101" authorId="0" shapeId="0" xr:uid="{A6FE33C9-061E-4B99-9BE8-ECE31D574F59}">
      <text>
        <r>
          <rPr>
            <b/>
            <sz val="9"/>
            <color indexed="81"/>
            <rFont val="Tahoma"/>
            <family val="2"/>
          </rPr>
          <t>=IF($C101="","",IFERROR(CIQ($C101,"IQ_RETURN_INVESTED_CAPITAL",K$88,vd)/100,""))</t>
        </r>
      </text>
    </comment>
    <comment ref="L101" authorId="0" shapeId="0" xr:uid="{684DA4F7-CFA1-4428-B268-18E6121C6909}">
      <text>
        <r>
          <rPr>
            <b/>
            <sz val="9"/>
            <color indexed="81"/>
            <rFont val="Tahoma"/>
            <family val="2"/>
          </rPr>
          <t>=IF($C101="","",IFERROR(CIQ($C101,"IQ_RETURN_INVESTED_CAPITAL",L$88,vd)/100,""))</t>
        </r>
      </text>
    </comment>
    <comment ref="M101" authorId="0" shapeId="0" xr:uid="{0F621C0A-329F-49BF-AA58-27392D89B023}">
      <text>
        <r>
          <rPr>
            <b/>
            <sz val="9"/>
            <color indexed="81"/>
            <rFont val="Tahoma"/>
            <family val="2"/>
          </rPr>
          <t>=IF($C101="","",IFERROR(CIQ($C101,"IQ_RETURN_INVESTED_CAPITAL",M$88,vd)/100,""))</t>
        </r>
      </text>
    </comment>
    <comment ref="N101" authorId="0" shapeId="0" xr:uid="{27E90D1D-68D3-4FE0-A286-10F702540261}">
      <text>
        <r>
          <rPr>
            <b/>
            <sz val="9"/>
            <color indexed="81"/>
            <rFont val="Tahoma"/>
            <family val="2"/>
          </rPr>
          <t>=IF($C101="","",IFERROR(CIQ($C101,"IQ_RETURN_INVESTED_CAPITAL",N$88,vd)/100,""))</t>
        </r>
      </text>
    </comment>
    <comment ref="D102" authorId="0" shapeId="0" xr:uid="{3417524E-0823-4CFA-821D-4903DA2D1DCF}">
      <text>
        <r>
          <rPr>
            <b/>
            <sz val="9"/>
            <color indexed="81"/>
            <rFont val="Tahoma"/>
            <family val="2"/>
          </rPr>
          <t>=IF($C102="","",IFERROR(CIQ($C102,"IQ_RETURN_INVESTED_CAPITAL",D$88,vd)/100,""))</t>
        </r>
      </text>
    </comment>
    <comment ref="E102" authorId="0" shapeId="0" xr:uid="{AD1A0503-538F-4522-A00D-068F23F61113}">
      <text>
        <r>
          <rPr>
            <b/>
            <sz val="9"/>
            <color indexed="81"/>
            <rFont val="Tahoma"/>
            <family val="2"/>
          </rPr>
          <t>=IF($C102="","",IFERROR(CIQ($C102,"IQ_RETURN_INVESTED_CAPITAL",E$88,vd)/100,""))</t>
        </r>
      </text>
    </comment>
    <comment ref="F102" authorId="0" shapeId="0" xr:uid="{78B6C673-E5A3-4AF7-83AE-2D1FD866D775}">
      <text>
        <r>
          <rPr>
            <b/>
            <sz val="9"/>
            <color indexed="81"/>
            <rFont val="Tahoma"/>
            <family val="2"/>
          </rPr>
          <t>=IF($C102="","",IFERROR(CIQ($C102,"IQ_RETURN_INVESTED_CAPITAL",F$88,vd)/100,""))</t>
        </r>
      </text>
    </comment>
    <comment ref="G102" authorId="0" shapeId="0" xr:uid="{87D6F0C6-71E3-4338-B6B9-DFEF6344F626}">
      <text>
        <r>
          <rPr>
            <b/>
            <sz val="9"/>
            <color indexed="81"/>
            <rFont val="Tahoma"/>
            <family val="2"/>
          </rPr>
          <t>=IF($C102="","",IFERROR(CIQ($C102,"IQ_RETURN_INVESTED_CAPITAL",G$88,vd)/100,""))</t>
        </r>
      </text>
    </comment>
    <comment ref="H102" authorId="0" shapeId="0" xr:uid="{EA231F5D-C43E-4549-9DA9-143D19D04AC9}">
      <text>
        <r>
          <rPr>
            <b/>
            <sz val="9"/>
            <color indexed="81"/>
            <rFont val="Tahoma"/>
            <family val="2"/>
          </rPr>
          <t>=IF($C102="","",IFERROR(CIQ($C102,"IQ_RETURN_INVESTED_CAPITAL",H$88,vd)/100,""))</t>
        </r>
      </text>
    </comment>
    <comment ref="I102" authorId="0" shapeId="0" xr:uid="{C731FD6C-5EE7-4951-B411-384F1161A1AF}">
      <text>
        <r>
          <rPr>
            <b/>
            <sz val="9"/>
            <color indexed="81"/>
            <rFont val="Tahoma"/>
            <family val="2"/>
          </rPr>
          <t>=IF($C102="","",IFERROR(CIQ($C102,"IQ_RETURN_INVESTED_CAPITAL",I$88,vd)/100,""))</t>
        </r>
      </text>
    </comment>
    <comment ref="J102" authorId="0" shapeId="0" xr:uid="{0318D4A3-43BA-4E48-B24D-02FFEFAD2A86}">
      <text>
        <r>
          <rPr>
            <b/>
            <sz val="9"/>
            <color indexed="81"/>
            <rFont val="Tahoma"/>
            <family val="2"/>
          </rPr>
          <t>=IF($C102="","",IFERROR(CIQ($C102,"IQ_RETURN_INVESTED_CAPITAL",J$88,vd)/100,""))</t>
        </r>
      </text>
    </comment>
    <comment ref="K102" authorId="0" shapeId="0" xr:uid="{20D6BB9E-9B76-4806-B019-C89FCA3031B8}">
      <text>
        <r>
          <rPr>
            <b/>
            <sz val="9"/>
            <color indexed="81"/>
            <rFont val="Tahoma"/>
            <family val="2"/>
          </rPr>
          <t>=IF($C102="","",IFERROR(CIQ($C102,"IQ_RETURN_INVESTED_CAPITAL",K$88,vd)/100,""))</t>
        </r>
      </text>
    </comment>
    <comment ref="L102" authorId="0" shapeId="0" xr:uid="{A0B51E13-61ED-406D-9194-EF8B367DD03A}">
      <text>
        <r>
          <rPr>
            <b/>
            <sz val="9"/>
            <color indexed="81"/>
            <rFont val="Tahoma"/>
            <family val="2"/>
          </rPr>
          <t>=IF($C102="","",IFERROR(CIQ($C102,"IQ_RETURN_INVESTED_CAPITAL",L$88,vd)/100,""))</t>
        </r>
      </text>
    </comment>
    <comment ref="M102" authorId="0" shapeId="0" xr:uid="{9B631DF7-58B7-4060-87F1-439C66787232}">
      <text>
        <r>
          <rPr>
            <b/>
            <sz val="9"/>
            <color indexed="81"/>
            <rFont val="Tahoma"/>
            <family val="2"/>
          </rPr>
          <t>=IF($C102="","",IFERROR(CIQ($C102,"IQ_RETURN_INVESTED_CAPITAL",M$88,vd)/100,""))</t>
        </r>
      </text>
    </comment>
    <comment ref="N102" authorId="0" shapeId="0" xr:uid="{F60EFE29-4F5C-4AF5-9A49-C092A3FAD1FD}">
      <text>
        <r>
          <rPr>
            <b/>
            <sz val="9"/>
            <color indexed="81"/>
            <rFont val="Tahoma"/>
            <family val="2"/>
          </rPr>
          <t>=IF($C102="","",IFERROR(CIQ($C102,"IQ_RETURN_INVESTED_CAPITAL",N$88,vd)/100,""))</t>
        </r>
      </text>
    </comment>
    <comment ref="D103" authorId="0" shapeId="0" xr:uid="{EDB69F8E-4042-41DD-B86A-A592790077D1}">
      <text>
        <r>
          <rPr>
            <b/>
            <sz val="9"/>
            <color indexed="81"/>
            <rFont val="Tahoma"/>
            <family val="2"/>
          </rPr>
          <t>=IF($C103="","",IFERROR(CIQ($C103,"IQ_RETURN_INVESTED_CAPITAL",D$88,vd)/100,""))</t>
        </r>
      </text>
    </comment>
    <comment ref="E103" authorId="0" shapeId="0" xr:uid="{BBAD2669-9F05-4FBA-A265-7D38040783D5}">
      <text>
        <r>
          <rPr>
            <b/>
            <sz val="9"/>
            <color indexed="81"/>
            <rFont val="Tahoma"/>
            <family val="2"/>
          </rPr>
          <t>=IF($C103="","",IFERROR(CIQ($C103,"IQ_RETURN_INVESTED_CAPITAL",E$88,vd)/100,""))</t>
        </r>
      </text>
    </comment>
    <comment ref="F103" authorId="0" shapeId="0" xr:uid="{C3ECCA9E-29B9-4120-A2EB-9B642C066343}">
      <text>
        <r>
          <rPr>
            <b/>
            <sz val="9"/>
            <color indexed="81"/>
            <rFont val="Tahoma"/>
            <family val="2"/>
          </rPr>
          <t>=IF($C103="","",IFERROR(CIQ($C103,"IQ_RETURN_INVESTED_CAPITAL",F$88,vd)/100,""))</t>
        </r>
      </text>
    </comment>
    <comment ref="G103" authorId="0" shapeId="0" xr:uid="{358B1A49-D984-485E-A031-EF81723977BE}">
      <text>
        <r>
          <rPr>
            <b/>
            <sz val="9"/>
            <color indexed="81"/>
            <rFont val="Tahoma"/>
            <family val="2"/>
          </rPr>
          <t>=IF($C103="","",IFERROR(CIQ($C103,"IQ_RETURN_INVESTED_CAPITAL",G$88,vd)/100,""))</t>
        </r>
      </text>
    </comment>
    <comment ref="H103" authorId="0" shapeId="0" xr:uid="{FA72A545-CD20-426B-8F24-460BA92E4B47}">
      <text>
        <r>
          <rPr>
            <b/>
            <sz val="9"/>
            <color indexed="81"/>
            <rFont val="Tahoma"/>
            <family val="2"/>
          </rPr>
          <t>=IF($C103="","",IFERROR(CIQ($C103,"IQ_RETURN_INVESTED_CAPITAL",H$88,vd)/100,""))</t>
        </r>
      </text>
    </comment>
    <comment ref="I103" authorId="0" shapeId="0" xr:uid="{717A6119-D41F-41F9-9636-336DCB48FEB7}">
      <text>
        <r>
          <rPr>
            <b/>
            <sz val="9"/>
            <color indexed="81"/>
            <rFont val="Tahoma"/>
            <family val="2"/>
          </rPr>
          <t>=IF($C103="","",IFERROR(CIQ($C103,"IQ_RETURN_INVESTED_CAPITAL",I$88,vd)/100,""))</t>
        </r>
      </text>
    </comment>
    <comment ref="J103" authorId="0" shapeId="0" xr:uid="{604B52BF-E84C-45D9-A004-8C0058A99B31}">
      <text>
        <r>
          <rPr>
            <b/>
            <sz val="9"/>
            <color indexed="81"/>
            <rFont val="Tahoma"/>
            <family val="2"/>
          </rPr>
          <t>=IF($C103="","",IFERROR(CIQ($C103,"IQ_RETURN_INVESTED_CAPITAL",J$88,vd)/100,""))</t>
        </r>
      </text>
    </comment>
    <comment ref="K103" authorId="0" shapeId="0" xr:uid="{F3BED8E7-60FC-46A1-A808-24D89A98A027}">
      <text>
        <r>
          <rPr>
            <b/>
            <sz val="9"/>
            <color indexed="81"/>
            <rFont val="Tahoma"/>
            <family val="2"/>
          </rPr>
          <t>=IF($C103="","",IFERROR(CIQ($C103,"IQ_RETURN_INVESTED_CAPITAL",K$88,vd)/100,""))</t>
        </r>
      </text>
    </comment>
    <comment ref="L103" authorId="0" shapeId="0" xr:uid="{120DF95B-A0ED-48D4-86F0-CC5822AEDDCB}">
      <text>
        <r>
          <rPr>
            <b/>
            <sz val="9"/>
            <color indexed="81"/>
            <rFont val="Tahoma"/>
            <family val="2"/>
          </rPr>
          <t>=IF($C103="","",IFERROR(CIQ($C103,"IQ_RETURN_INVESTED_CAPITAL",L$88,vd)/100,""))</t>
        </r>
      </text>
    </comment>
    <comment ref="M103" authorId="0" shapeId="0" xr:uid="{6173ECB0-59AF-479B-B8FC-BA30AE7F0C42}">
      <text>
        <r>
          <rPr>
            <b/>
            <sz val="9"/>
            <color indexed="81"/>
            <rFont val="Tahoma"/>
            <family val="2"/>
          </rPr>
          <t>=IF($C103="","",IFERROR(CIQ($C103,"IQ_RETURN_INVESTED_CAPITAL",M$88,vd)/100,""))</t>
        </r>
      </text>
    </comment>
    <comment ref="N103" authorId="0" shapeId="0" xr:uid="{65F94601-C57A-4D8A-B926-25FFCA09193A}">
      <text>
        <r>
          <rPr>
            <b/>
            <sz val="9"/>
            <color indexed="81"/>
            <rFont val="Tahoma"/>
            <family val="2"/>
          </rPr>
          <t>=IF($C103="","",IFERROR(CIQ($C103,"IQ_RETURN_INVESTED_CAPITAL",N$88,vd)/100,""))</t>
        </r>
      </text>
    </comment>
    <comment ref="D181" authorId="0" shapeId="0" xr:uid="{46E161F3-7F8F-4F24-83D0-1F8691CEC88F}">
      <text>
        <r>
          <rPr>
            <b/>
            <sz val="9"/>
            <color indexed="81"/>
            <rFont val="Tahoma"/>
            <family val="2"/>
          </rPr>
          <t>=IF($C181="","",IFERROR(CIQ($C181,"IQ_DAYS_INVENTORY_OUT",D$180,vd),""))</t>
        </r>
      </text>
    </comment>
    <comment ref="E181" authorId="0" shapeId="0" xr:uid="{6700BAE9-DECA-44B8-812A-684CBF22AD5D}">
      <text>
        <r>
          <rPr>
            <b/>
            <sz val="9"/>
            <color indexed="81"/>
            <rFont val="Tahoma"/>
            <family val="2"/>
          </rPr>
          <t>=IF($C181="","",IFERROR(CIQ($C181,"IQ_DAYS_INVENTORY_OUT",E$180,vd),""))</t>
        </r>
      </text>
    </comment>
    <comment ref="F181" authorId="0" shapeId="0" xr:uid="{259A551A-3CB0-4548-AF4E-A0E6A05FCDEB}">
      <text>
        <r>
          <rPr>
            <b/>
            <sz val="9"/>
            <color indexed="81"/>
            <rFont val="Tahoma"/>
            <family val="2"/>
          </rPr>
          <t>=IF($C181="","",IFERROR(CIQ($C181,"IQ_DAYS_INVENTORY_OUT",F$180,vd),""))</t>
        </r>
      </text>
    </comment>
    <comment ref="G181" authorId="0" shapeId="0" xr:uid="{6426254E-F2B8-4776-8431-2E40F97E8778}">
      <text>
        <r>
          <rPr>
            <b/>
            <sz val="9"/>
            <color indexed="81"/>
            <rFont val="Tahoma"/>
            <family val="2"/>
          </rPr>
          <t>=IF($C181="","",IFERROR(CIQ($C181,"IQ_DAYS_INVENTORY_OUT",G$180,vd),""))</t>
        </r>
      </text>
    </comment>
    <comment ref="H181" authorId="0" shapeId="0" xr:uid="{20BE7638-2FE3-4BF6-8699-59972A59CEF4}">
      <text>
        <r>
          <rPr>
            <b/>
            <sz val="9"/>
            <color indexed="81"/>
            <rFont val="Tahoma"/>
            <family val="2"/>
          </rPr>
          <t>=IF($C181="","",IFERROR(CIQ($C181,"IQ_DAYS_INVENTORY_OUT",H$180,vd),""))</t>
        </r>
      </text>
    </comment>
    <comment ref="I181" authorId="0" shapeId="0" xr:uid="{D5BBDF83-B52C-48EE-A359-1311DC30F44E}">
      <text>
        <r>
          <rPr>
            <b/>
            <sz val="9"/>
            <color indexed="81"/>
            <rFont val="Tahoma"/>
            <family val="2"/>
          </rPr>
          <t>=IF($C181="","",IFERROR(CIQ($C181,"IQ_DAYS_INVENTORY_OUT",I$180,vd),""))</t>
        </r>
      </text>
    </comment>
    <comment ref="J181" authorId="0" shapeId="0" xr:uid="{3C4D4AE2-7200-414C-803C-91754E2A8F27}">
      <text>
        <r>
          <rPr>
            <b/>
            <sz val="9"/>
            <color indexed="81"/>
            <rFont val="Tahoma"/>
            <family val="2"/>
          </rPr>
          <t>=IF($C181="","",IFERROR(CIQ($C181,"IQ_DAYS_INVENTORY_OUT",J$180,vd),""))</t>
        </r>
      </text>
    </comment>
    <comment ref="K181" authorId="0" shapeId="0" xr:uid="{77354F53-1CD4-46C4-927B-DC8EE663EAAE}">
      <text>
        <r>
          <rPr>
            <b/>
            <sz val="9"/>
            <color indexed="81"/>
            <rFont val="Tahoma"/>
            <family val="2"/>
          </rPr>
          <t>=IF($C181="","",IFERROR(CIQ($C181,"IQ_DAYS_INVENTORY_OUT",K$180,vd),""))</t>
        </r>
      </text>
    </comment>
    <comment ref="L181" authorId="0" shapeId="0" xr:uid="{4080D5D2-8D56-431F-A7C1-97AECF4A7A30}">
      <text>
        <r>
          <rPr>
            <b/>
            <sz val="9"/>
            <color indexed="81"/>
            <rFont val="Tahoma"/>
            <family val="2"/>
          </rPr>
          <t>=IF($C181="","",IFERROR(CIQ($C181,"IQ_DAYS_INVENTORY_OUT",L$180,vd),""))</t>
        </r>
      </text>
    </comment>
    <comment ref="M181" authorId="0" shapeId="0" xr:uid="{242BAF6C-7EE3-42EB-AC68-B3CC3B1DFE33}">
      <text>
        <r>
          <rPr>
            <b/>
            <sz val="9"/>
            <color indexed="81"/>
            <rFont val="Tahoma"/>
            <family val="2"/>
          </rPr>
          <t>=IF($C181="","",IFERROR(CIQ($C181,"IQ_DAYS_INVENTORY_OUT",M$180,vd),""))</t>
        </r>
      </text>
    </comment>
    <comment ref="N181" authorId="0" shapeId="0" xr:uid="{9FC7C7E1-0580-4B91-AF4C-7170A8930B5D}">
      <text>
        <r>
          <rPr>
            <b/>
            <sz val="9"/>
            <color indexed="81"/>
            <rFont val="Tahoma"/>
            <family val="2"/>
          </rPr>
          <t>=IF($C181="","",IFERROR(CIQ($C181,"IQ_DAYS_INVENTORY_OUT",N$180,vd),""))</t>
        </r>
      </text>
    </comment>
    <comment ref="D182" authorId="0" shapeId="0" xr:uid="{ED3475EA-984F-4CB6-83FD-43E95581E00D}">
      <text>
        <r>
          <rPr>
            <b/>
            <sz val="9"/>
            <color indexed="81"/>
            <rFont val="Tahoma"/>
            <family val="2"/>
          </rPr>
          <t>=IF($C182="","",IFERROR(CIQ($C182,"IQ_DAYS_INVENTORY_OUT",D$180,vd),""))</t>
        </r>
      </text>
    </comment>
    <comment ref="E182" authorId="0" shapeId="0" xr:uid="{238E6CF7-6A65-42A7-BBDC-A46C12E72E17}">
      <text>
        <r>
          <rPr>
            <b/>
            <sz val="9"/>
            <color indexed="81"/>
            <rFont val="Tahoma"/>
            <family val="2"/>
          </rPr>
          <t>=IF($C182="","",IFERROR(CIQ($C182,"IQ_DAYS_INVENTORY_OUT",E$180,vd),""))</t>
        </r>
      </text>
    </comment>
    <comment ref="F182" authorId="0" shapeId="0" xr:uid="{FDBA2615-E939-4815-9C5D-DF92DD0DE06A}">
      <text>
        <r>
          <rPr>
            <b/>
            <sz val="9"/>
            <color indexed="81"/>
            <rFont val="Tahoma"/>
            <family val="2"/>
          </rPr>
          <t>=IF($C182="","",IFERROR(CIQ($C182,"IQ_DAYS_INVENTORY_OUT",F$180,vd),""))</t>
        </r>
      </text>
    </comment>
    <comment ref="G182" authorId="0" shapeId="0" xr:uid="{85648D69-D785-40D6-B5A8-6A2EB4788E81}">
      <text>
        <r>
          <rPr>
            <b/>
            <sz val="9"/>
            <color indexed="81"/>
            <rFont val="Tahoma"/>
            <family val="2"/>
          </rPr>
          <t>=IF($C182="","",IFERROR(CIQ($C182,"IQ_DAYS_INVENTORY_OUT",G$180,vd),""))</t>
        </r>
      </text>
    </comment>
    <comment ref="H182" authorId="0" shapeId="0" xr:uid="{565FE734-F8FF-442F-86F0-CD5A99E291AA}">
      <text>
        <r>
          <rPr>
            <b/>
            <sz val="9"/>
            <color indexed="81"/>
            <rFont val="Tahoma"/>
            <family val="2"/>
          </rPr>
          <t>=IF($C182="","",IFERROR(CIQ($C182,"IQ_DAYS_INVENTORY_OUT",H$180,vd),""))</t>
        </r>
      </text>
    </comment>
    <comment ref="I182" authorId="0" shapeId="0" xr:uid="{78169673-984B-4685-BD7C-8E0EE8E3DD66}">
      <text>
        <r>
          <rPr>
            <b/>
            <sz val="9"/>
            <color indexed="81"/>
            <rFont val="Tahoma"/>
            <family val="2"/>
          </rPr>
          <t>=IF($C182="","",IFERROR(CIQ($C182,"IQ_DAYS_INVENTORY_OUT",I$180,vd),""))</t>
        </r>
      </text>
    </comment>
    <comment ref="J182" authorId="0" shapeId="0" xr:uid="{98888D7F-0C5D-4EBE-BC18-C30A873F141C}">
      <text>
        <r>
          <rPr>
            <b/>
            <sz val="9"/>
            <color indexed="81"/>
            <rFont val="Tahoma"/>
            <family val="2"/>
          </rPr>
          <t>=IF($C182="","",IFERROR(CIQ($C182,"IQ_DAYS_INVENTORY_OUT",J$180,vd),""))</t>
        </r>
      </text>
    </comment>
    <comment ref="K182" authorId="0" shapeId="0" xr:uid="{BC63DC7A-90A2-43A6-A9DB-228F99CA6333}">
      <text>
        <r>
          <rPr>
            <b/>
            <sz val="9"/>
            <color indexed="81"/>
            <rFont val="Tahoma"/>
            <family val="2"/>
          </rPr>
          <t>=IF($C182="","",IFERROR(CIQ($C182,"IQ_DAYS_INVENTORY_OUT",K$180,vd),""))</t>
        </r>
      </text>
    </comment>
    <comment ref="L182" authorId="0" shapeId="0" xr:uid="{FFACD27B-4300-4DB8-8A02-3F450EC2B961}">
      <text>
        <r>
          <rPr>
            <b/>
            <sz val="9"/>
            <color indexed="81"/>
            <rFont val="Tahoma"/>
            <family val="2"/>
          </rPr>
          <t>=IF($C182="","",IFERROR(CIQ($C182,"IQ_DAYS_INVENTORY_OUT",L$180,vd),""))</t>
        </r>
      </text>
    </comment>
    <comment ref="M182" authorId="0" shapeId="0" xr:uid="{A01BDB85-4035-471E-8999-528923AD6FE7}">
      <text>
        <r>
          <rPr>
            <b/>
            <sz val="9"/>
            <color indexed="81"/>
            <rFont val="Tahoma"/>
            <family val="2"/>
          </rPr>
          <t>=IF($C182="","",IFERROR(CIQ($C182,"IQ_DAYS_INVENTORY_OUT",M$180,vd),""))</t>
        </r>
      </text>
    </comment>
    <comment ref="N182" authorId="0" shapeId="0" xr:uid="{03829037-6060-4B44-921A-9890BD172B03}">
      <text>
        <r>
          <rPr>
            <b/>
            <sz val="9"/>
            <color indexed="81"/>
            <rFont val="Tahoma"/>
            <family val="2"/>
          </rPr>
          <t>=IF($C182="","",IFERROR(CIQ($C182,"IQ_DAYS_INVENTORY_OUT",N$180,vd),""))</t>
        </r>
      </text>
    </comment>
    <comment ref="D183" authorId="0" shapeId="0" xr:uid="{4EED7C08-3E37-4413-972F-DAA1DD9BB1DE}">
      <text>
        <r>
          <rPr>
            <b/>
            <sz val="9"/>
            <color indexed="81"/>
            <rFont val="Tahoma"/>
            <family val="2"/>
          </rPr>
          <t>=IF($C183="","",IFERROR(CIQ($C183,"IQ_DAYS_INVENTORY_OUT",D$180,vd),""))</t>
        </r>
      </text>
    </comment>
    <comment ref="E183" authorId="0" shapeId="0" xr:uid="{D2FD11A1-CB88-446A-933C-AE31516559CC}">
      <text>
        <r>
          <rPr>
            <b/>
            <sz val="9"/>
            <color indexed="81"/>
            <rFont val="Tahoma"/>
            <family val="2"/>
          </rPr>
          <t>=IF($C183="","",IFERROR(CIQ($C183,"IQ_DAYS_INVENTORY_OUT",E$180,vd),""))</t>
        </r>
      </text>
    </comment>
    <comment ref="F183" authorId="0" shapeId="0" xr:uid="{8206D5FA-30B8-46B0-BCB2-AAF6C25DA406}">
      <text>
        <r>
          <rPr>
            <b/>
            <sz val="9"/>
            <color indexed="81"/>
            <rFont val="Tahoma"/>
            <family val="2"/>
          </rPr>
          <t>=IF($C183="","",IFERROR(CIQ($C183,"IQ_DAYS_INVENTORY_OUT",F$180,vd),""))</t>
        </r>
      </text>
    </comment>
    <comment ref="G183" authorId="0" shapeId="0" xr:uid="{06B6D077-13EF-4668-B7F6-6032EEBC33D5}">
      <text>
        <r>
          <rPr>
            <b/>
            <sz val="9"/>
            <color indexed="81"/>
            <rFont val="Tahoma"/>
            <family val="2"/>
          </rPr>
          <t>=IF($C183="","",IFERROR(CIQ($C183,"IQ_DAYS_INVENTORY_OUT",G$180,vd),""))</t>
        </r>
      </text>
    </comment>
    <comment ref="H183" authorId="0" shapeId="0" xr:uid="{71F899C5-31FD-474C-95E4-06868F8317D8}">
      <text>
        <r>
          <rPr>
            <b/>
            <sz val="9"/>
            <color indexed="81"/>
            <rFont val="Tahoma"/>
            <family val="2"/>
          </rPr>
          <t>=IF($C183="","",IFERROR(CIQ($C183,"IQ_DAYS_INVENTORY_OUT",H$180,vd),""))</t>
        </r>
      </text>
    </comment>
    <comment ref="I183" authorId="0" shapeId="0" xr:uid="{E34C7B6F-6620-406D-B37D-3200148EC9DC}">
      <text>
        <r>
          <rPr>
            <b/>
            <sz val="9"/>
            <color indexed="81"/>
            <rFont val="Tahoma"/>
            <family val="2"/>
          </rPr>
          <t>=IF($C183="","",IFERROR(CIQ($C183,"IQ_DAYS_INVENTORY_OUT",I$180,vd),""))</t>
        </r>
      </text>
    </comment>
    <comment ref="J183" authorId="0" shapeId="0" xr:uid="{8EF00431-E325-4C43-B3B6-3E71CAAD2617}">
      <text>
        <r>
          <rPr>
            <b/>
            <sz val="9"/>
            <color indexed="81"/>
            <rFont val="Tahoma"/>
            <family val="2"/>
          </rPr>
          <t>=IF($C183="","",IFERROR(CIQ($C183,"IQ_DAYS_INVENTORY_OUT",J$180,vd),""))</t>
        </r>
      </text>
    </comment>
    <comment ref="K183" authorId="0" shapeId="0" xr:uid="{A5338C8D-033E-495F-A678-EDDD38E3ECB1}">
      <text>
        <r>
          <rPr>
            <b/>
            <sz val="9"/>
            <color indexed="81"/>
            <rFont val="Tahoma"/>
            <family val="2"/>
          </rPr>
          <t>=IF($C183="","",IFERROR(CIQ($C183,"IQ_DAYS_INVENTORY_OUT",K$180,vd),""))</t>
        </r>
      </text>
    </comment>
    <comment ref="L183" authorId="0" shapeId="0" xr:uid="{4A07A026-D0DC-4AB9-B47D-596DBC2CC4FF}">
      <text>
        <r>
          <rPr>
            <b/>
            <sz val="9"/>
            <color indexed="81"/>
            <rFont val="Tahoma"/>
            <family val="2"/>
          </rPr>
          <t>=IF($C183="","",IFERROR(CIQ($C183,"IQ_DAYS_INVENTORY_OUT",L$180,vd),""))</t>
        </r>
      </text>
    </comment>
    <comment ref="M183" authorId="0" shapeId="0" xr:uid="{85A73164-E018-47BE-9E79-E19B414A518B}">
      <text>
        <r>
          <rPr>
            <b/>
            <sz val="9"/>
            <color indexed="81"/>
            <rFont val="Tahoma"/>
            <family val="2"/>
          </rPr>
          <t>=IF($C183="","",IFERROR(CIQ($C183,"IQ_DAYS_INVENTORY_OUT",M$180,vd),""))</t>
        </r>
      </text>
    </comment>
    <comment ref="N183" authorId="0" shapeId="0" xr:uid="{E1E600C5-9079-4EA2-8D3E-C4CB9C996E14}">
      <text>
        <r>
          <rPr>
            <b/>
            <sz val="9"/>
            <color indexed="81"/>
            <rFont val="Tahoma"/>
            <family val="2"/>
          </rPr>
          <t>=IF($C183="","",IFERROR(CIQ($C183,"IQ_DAYS_INVENTORY_OUT",N$180,vd),""))</t>
        </r>
      </text>
    </comment>
    <comment ref="D184" authorId="0" shapeId="0" xr:uid="{07AC57CD-2DA8-4276-B0B1-7335CE8B509F}">
      <text>
        <r>
          <rPr>
            <b/>
            <sz val="9"/>
            <color indexed="81"/>
            <rFont val="Tahoma"/>
            <family val="2"/>
          </rPr>
          <t>=IF($C184="","",IFERROR(CIQ($C184,"IQ_DAYS_INVENTORY_OUT",D$180,vd),""))</t>
        </r>
      </text>
    </comment>
    <comment ref="E184" authorId="0" shapeId="0" xr:uid="{E4F49157-156E-4156-AB70-BE7D9064A1B2}">
      <text>
        <r>
          <rPr>
            <b/>
            <sz val="9"/>
            <color indexed="81"/>
            <rFont val="Tahoma"/>
            <family val="2"/>
          </rPr>
          <t>=IF($C184="","",IFERROR(CIQ($C184,"IQ_DAYS_INVENTORY_OUT",E$180,vd),""))</t>
        </r>
      </text>
    </comment>
    <comment ref="F184" authorId="0" shapeId="0" xr:uid="{163CCF93-D1FA-4534-A2DC-053489A1A7DF}">
      <text>
        <r>
          <rPr>
            <b/>
            <sz val="9"/>
            <color indexed="81"/>
            <rFont val="Tahoma"/>
            <family val="2"/>
          </rPr>
          <t>=IF($C184="","",IFERROR(CIQ($C184,"IQ_DAYS_INVENTORY_OUT",F$180,vd),""))</t>
        </r>
      </text>
    </comment>
    <comment ref="G184" authorId="0" shapeId="0" xr:uid="{A0B580FA-7224-4F8D-B303-00D603E20951}">
      <text>
        <r>
          <rPr>
            <b/>
            <sz val="9"/>
            <color indexed="81"/>
            <rFont val="Tahoma"/>
            <family val="2"/>
          </rPr>
          <t>=IF($C184="","",IFERROR(CIQ($C184,"IQ_DAYS_INVENTORY_OUT",G$180,vd),""))</t>
        </r>
      </text>
    </comment>
    <comment ref="H184" authorId="0" shapeId="0" xr:uid="{C242BAC6-51F4-4E3C-8BEB-EB339410ED22}">
      <text>
        <r>
          <rPr>
            <b/>
            <sz val="9"/>
            <color indexed="81"/>
            <rFont val="Tahoma"/>
            <family val="2"/>
          </rPr>
          <t>=IF($C184="","",IFERROR(CIQ($C184,"IQ_DAYS_INVENTORY_OUT",H$180,vd),""))</t>
        </r>
      </text>
    </comment>
    <comment ref="I184" authorId="0" shapeId="0" xr:uid="{6BB7346F-BE84-498F-8800-52AF401044C6}">
      <text>
        <r>
          <rPr>
            <b/>
            <sz val="9"/>
            <color indexed="81"/>
            <rFont val="Tahoma"/>
            <family val="2"/>
          </rPr>
          <t>=IF($C184="","",IFERROR(CIQ($C184,"IQ_DAYS_INVENTORY_OUT",I$180,vd),""))</t>
        </r>
      </text>
    </comment>
    <comment ref="J184" authorId="0" shapeId="0" xr:uid="{17087FD9-0C7D-450C-A7AE-7AA7C8B1C983}">
      <text>
        <r>
          <rPr>
            <b/>
            <sz val="9"/>
            <color indexed="81"/>
            <rFont val="Tahoma"/>
            <family val="2"/>
          </rPr>
          <t>=IF($C184="","",IFERROR(CIQ($C184,"IQ_DAYS_INVENTORY_OUT",J$180,vd),""))</t>
        </r>
      </text>
    </comment>
    <comment ref="K184" authorId="0" shapeId="0" xr:uid="{AB841883-F59E-432A-A2CB-0C1DE3F444AC}">
      <text>
        <r>
          <rPr>
            <b/>
            <sz val="9"/>
            <color indexed="81"/>
            <rFont val="Tahoma"/>
            <family val="2"/>
          </rPr>
          <t>=IF($C184="","",IFERROR(CIQ($C184,"IQ_DAYS_INVENTORY_OUT",K$180,vd),""))</t>
        </r>
      </text>
    </comment>
    <comment ref="L184" authorId="0" shapeId="0" xr:uid="{6694F308-BC0A-4B9C-931D-EC50F7AA0B92}">
      <text>
        <r>
          <rPr>
            <b/>
            <sz val="9"/>
            <color indexed="81"/>
            <rFont val="Tahoma"/>
            <family val="2"/>
          </rPr>
          <t>=IF($C184="","",IFERROR(CIQ($C184,"IQ_DAYS_INVENTORY_OUT",L$180,vd),""))</t>
        </r>
      </text>
    </comment>
    <comment ref="M184" authorId="0" shapeId="0" xr:uid="{1A4653D1-3010-415B-909F-C6C5AF694926}">
      <text>
        <r>
          <rPr>
            <b/>
            <sz val="9"/>
            <color indexed="81"/>
            <rFont val="Tahoma"/>
            <family val="2"/>
          </rPr>
          <t>=IF($C184="","",IFERROR(CIQ($C184,"IQ_DAYS_INVENTORY_OUT",M$180,vd),""))</t>
        </r>
      </text>
    </comment>
    <comment ref="N184" authorId="0" shapeId="0" xr:uid="{D487A6EB-1F0E-4C4E-8F0D-3DE4741C3B6B}">
      <text>
        <r>
          <rPr>
            <b/>
            <sz val="9"/>
            <color indexed="81"/>
            <rFont val="Tahoma"/>
            <family val="2"/>
          </rPr>
          <t>=IF($C184="","",IFERROR(CIQ($C184,"IQ_DAYS_INVENTORY_OUT",N$180,vd),""))</t>
        </r>
      </text>
    </comment>
    <comment ref="D185" authorId="0" shapeId="0" xr:uid="{3234F35C-A5F0-4692-9CC5-BD0F204E25B0}">
      <text>
        <r>
          <rPr>
            <b/>
            <sz val="9"/>
            <color indexed="81"/>
            <rFont val="Tahoma"/>
            <family val="2"/>
          </rPr>
          <t>=IF($C185="","",IFERROR(CIQ($C185,"IQ_DAYS_INVENTORY_OUT",D$180,vd),""))</t>
        </r>
      </text>
    </comment>
    <comment ref="E185" authorId="0" shapeId="0" xr:uid="{9EC9E493-E314-4E31-989D-37B2D8080348}">
      <text>
        <r>
          <rPr>
            <b/>
            <sz val="9"/>
            <color indexed="81"/>
            <rFont val="Tahoma"/>
            <family val="2"/>
          </rPr>
          <t>=IF($C185="","",IFERROR(CIQ($C185,"IQ_DAYS_INVENTORY_OUT",E$180,vd),""))</t>
        </r>
      </text>
    </comment>
    <comment ref="F185" authorId="0" shapeId="0" xr:uid="{26BBF985-879A-4172-A40F-01CECDF82989}">
      <text>
        <r>
          <rPr>
            <b/>
            <sz val="9"/>
            <color indexed="81"/>
            <rFont val="Tahoma"/>
            <family val="2"/>
          </rPr>
          <t>=IF($C185="","",IFERROR(CIQ($C185,"IQ_DAYS_INVENTORY_OUT",F$180,vd),""))</t>
        </r>
      </text>
    </comment>
    <comment ref="G185" authorId="0" shapeId="0" xr:uid="{65CF9767-BB92-4B2B-A61D-6C28ACED1778}">
      <text>
        <r>
          <rPr>
            <b/>
            <sz val="9"/>
            <color indexed="81"/>
            <rFont val="Tahoma"/>
            <family val="2"/>
          </rPr>
          <t>=IF($C185="","",IFERROR(CIQ($C185,"IQ_DAYS_INVENTORY_OUT",G$180,vd),""))</t>
        </r>
      </text>
    </comment>
    <comment ref="H185" authorId="0" shapeId="0" xr:uid="{84BFAF1B-06F3-42AC-9162-48452A0A9CCA}">
      <text>
        <r>
          <rPr>
            <b/>
            <sz val="9"/>
            <color indexed="81"/>
            <rFont val="Tahoma"/>
            <family val="2"/>
          </rPr>
          <t>=IF($C185="","",IFERROR(CIQ($C185,"IQ_DAYS_INVENTORY_OUT",H$180,vd),""))</t>
        </r>
      </text>
    </comment>
    <comment ref="I185" authorId="0" shapeId="0" xr:uid="{BD902E22-A913-428C-B5A8-7B9565756F82}">
      <text>
        <r>
          <rPr>
            <b/>
            <sz val="9"/>
            <color indexed="81"/>
            <rFont val="Tahoma"/>
            <family val="2"/>
          </rPr>
          <t>=IF($C185="","",IFERROR(CIQ($C185,"IQ_DAYS_INVENTORY_OUT",I$180,vd),""))</t>
        </r>
      </text>
    </comment>
    <comment ref="J185" authorId="0" shapeId="0" xr:uid="{536301C3-DF47-4750-A922-FB538141D64F}">
      <text>
        <r>
          <rPr>
            <b/>
            <sz val="9"/>
            <color indexed="81"/>
            <rFont val="Tahoma"/>
            <family val="2"/>
          </rPr>
          <t>=IF($C185="","",IFERROR(CIQ($C185,"IQ_DAYS_INVENTORY_OUT",J$180,vd),""))</t>
        </r>
      </text>
    </comment>
    <comment ref="K185" authorId="0" shapeId="0" xr:uid="{F06EFC94-9078-4DD5-AEBC-EDE9F5E00BD8}">
      <text>
        <r>
          <rPr>
            <b/>
            <sz val="9"/>
            <color indexed="81"/>
            <rFont val="Tahoma"/>
            <family val="2"/>
          </rPr>
          <t>=IF($C185="","",IFERROR(CIQ($C185,"IQ_DAYS_INVENTORY_OUT",K$180,vd),""))</t>
        </r>
      </text>
    </comment>
    <comment ref="L185" authorId="0" shapeId="0" xr:uid="{2FEBABB0-3513-442F-9124-1098D18035F6}">
      <text>
        <r>
          <rPr>
            <b/>
            <sz val="9"/>
            <color indexed="81"/>
            <rFont val="Tahoma"/>
            <family val="2"/>
          </rPr>
          <t>=IF($C185="","",IFERROR(CIQ($C185,"IQ_DAYS_INVENTORY_OUT",L$180,vd),""))</t>
        </r>
      </text>
    </comment>
    <comment ref="M185" authorId="0" shapeId="0" xr:uid="{C924008E-2E6C-48AC-80DE-B3123F761CC5}">
      <text>
        <r>
          <rPr>
            <b/>
            <sz val="9"/>
            <color indexed="81"/>
            <rFont val="Tahoma"/>
            <family val="2"/>
          </rPr>
          <t>=IF($C185="","",IFERROR(CIQ($C185,"IQ_DAYS_INVENTORY_OUT",M$180,vd),""))</t>
        </r>
      </text>
    </comment>
    <comment ref="N185" authorId="0" shapeId="0" xr:uid="{04E5A732-B971-4146-BAE4-4A656F7E1DBC}">
      <text>
        <r>
          <rPr>
            <b/>
            <sz val="9"/>
            <color indexed="81"/>
            <rFont val="Tahoma"/>
            <family val="2"/>
          </rPr>
          <t>=IF($C185="","",IFERROR(CIQ($C185,"IQ_DAYS_INVENTORY_OUT",N$180,vd),""))</t>
        </r>
      </text>
    </comment>
    <comment ref="D186" authorId="0" shapeId="0" xr:uid="{423869F5-FD9E-4F51-AA6C-CA9D75412054}">
      <text>
        <r>
          <rPr>
            <b/>
            <sz val="9"/>
            <color indexed="81"/>
            <rFont val="Tahoma"/>
            <family val="2"/>
          </rPr>
          <t>=IF($C186="","",IFERROR(CIQ($C186,"IQ_DAYS_INVENTORY_OUT",D$180,vd),""))</t>
        </r>
      </text>
    </comment>
    <comment ref="E186" authorId="0" shapeId="0" xr:uid="{DE0DCB93-6ED8-4835-824E-8686C8540EF0}">
      <text>
        <r>
          <rPr>
            <b/>
            <sz val="9"/>
            <color indexed="81"/>
            <rFont val="Tahoma"/>
            <family val="2"/>
          </rPr>
          <t>=IF($C186="","",IFERROR(CIQ($C186,"IQ_DAYS_INVENTORY_OUT",E$180,vd),""))</t>
        </r>
      </text>
    </comment>
    <comment ref="F186" authorId="0" shapeId="0" xr:uid="{60F18386-B5B5-4C9A-A001-8068FAF8BFAE}">
      <text>
        <r>
          <rPr>
            <b/>
            <sz val="9"/>
            <color indexed="81"/>
            <rFont val="Tahoma"/>
            <family val="2"/>
          </rPr>
          <t>=IF($C186="","",IFERROR(CIQ($C186,"IQ_DAYS_INVENTORY_OUT",F$180,vd),""))</t>
        </r>
      </text>
    </comment>
    <comment ref="G186" authorId="0" shapeId="0" xr:uid="{C5DB822A-EB67-452C-9925-3A26DFD69082}">
      <text>
        <r>
          <rPr>
            <b/>
            <sz val="9"/>
            <color indexed="81"/>
            <rFont val="Tahoma"/>
            <family val="2"/>
          </rPr>
          <t>=IF($C186="","",IFERROR(CIQ($C186,"IQ_DAYS_INVENTORY_OUT",G$180,vd),""))</t>
        </r>
      </text>
    </comment>
    <comment ref="H186" authorId="0" shapeId="0" xr:uid="{4EAB9EE5-205C-4BEF-8C42-A996F62497C8}">
      <text>
        <r>
          <rPr>
            <b/>
            <sz val="9"/>
            <color indexed="81"/>
            <rFont val="Tahoma"/>
            <family val="2"/>
          </rPr>
          <t>=IF($C186="","",IFERROR(CIQ($C186,"IQ_DAYS_INVENTORY_OUT",H$180,vd),""))</t>
        </r>
      </text>
    </comment>
    <comment ref="I186" authorId="0" shapeId="0" xr:uid="{E45A4F18-E096-4EC3-B9EC-862F6A98CDDB}">
      <text>
        <r>
          <rPr>
            <b/>
            <sz val="9"/>
            <color indexed="81"/>
            <rFont val="Tahoma"/>
            <family val="2"/>
          </rPr>
          <t>=IF($C186="","",IFERROR(CIQ($C186,"IQ_DAYS_INVENTORY_OUT",I$180,vd),""))</t>
        </r>
      </text>
    </comment>
    <comment ref="J186" authorId="0" shapeId="0" xr:uid="{0623EADF-7362-4929-A7F5-E1BF2CA78FB8}">
      <text>
        <r>
          <rPr>
            <b/>
            <sz val="9"/>
            <color indexed="81"/>
            <rFont val="Tahoma"/>
            <family val="2"/>
          </rPr>
          <t>=IF($C186="","",IFERROR(CIQ($C186,"IQ_DAYS_INVENTORY_OUT",J$180,vd),""))</t>
        </r>
      </text>
    </comment>
    <comment ref="K186" authorId="0" shapeId="0" xr:uid="{6467D189-3C34-478F-849D-2B3C1F3E573E}">
      <text>
        <r>
          <rPr>
            <b/>
            <sz val="9"/>
            <color indexed="81"/>
            <rFont val="Tahoma"/>
            <family val="2"/>
          </rPr>
          <t>=IF($C186="","",IFERROR(CIQ($C186,"IQ_DAYS_INVENTORY_OUT",K$180,vd),""))</t>
        </r>
      </text>
    </comment>
    <comment ref="L186" authorId="0" shapeId="0" xr:uid="{0C21AD49-C569-483E-AC06-9556DA912DD3}">
      <text>
        <r>
          <rPr>
            <b/>
            <sz val="9"/>
            <color indexed="81"/>
            <rFont val="Tahoma"/>
            <family val="2"/>
          </rPr>
          <t>=IF($C186="","",IFERROR(CIQ($C186,"IQ_DAYS_INVENTORY_OUT",L$180,vd),""))</t>
        </r>
      </text>
    </comment>
    <comment ref="M186" authorId="0" shapeId="0" xr:uid="{52DD96E3-E397-42E3-B89A-5C45CCA72166}">
      <text>
        <r>
          <rPr>
            <b/>
            <sz val="9"/>
            <color indexed="81"/>
            <rFont val="Tahoma"/>
            <family val="2"/>
          </rPr>
          <t>=IF($C186="","",IFERROR(CIQ($C186,"IQ_DAYS_INVENTORY_OUT",M$180,vd),""))</t>
        </r>
      </text>
    </comment>
    <comment ref="N186" authorId="0" shapeId="0" xr:uid="{F0596A8E-0FDD-4058-B01D-F25CABEDB8C3}">
      <text>
        <r>
          <rPr>
            <b/>
            <sz val="9"/>
            <color indexed="81"/>
            <rFont val="Tahoma"/>
            <family val="2"/>
          </rPr>
          <t>=IF($C186="","",IFERROR(CIQ($C186,"IQ_DAYS_INVENTORY_OUT",N$180,vd),""))</t>
        </r>
      </text>
    </comment>
    <comment ref="D187" authorId="0" shapeId="0" xr:uid="{BF7BD714-19EE-42CB-A9DB-84AA2FA4F86A}">
      <text>
        <r>
          <rPr>
            <b/>
            <sz val="9"/>
            <color indexed="81"/>
            <rFont val="Tahoma"/>
            <family val="2"/>
          </rPr>
          <t>=IF($C187="","",IFERROR(CIQ($C187,"IQ_DAYS_INVENTORY_OUT",D$180,vd),""))</t>
        </r>
      </text>
    </comment>
    <comment ref="E187" authorId="0" shapeId="0" xr:uid="{46E74F1E-D494-4117-BD2F-07343DF65F9F}">
      <text>
        <r>
          <rPr>
            <b/>
            <sz val="9"/>
            <color indexed="81"/>
            <rFont val="Tahoma"/>
            <family val="2"/>
          </rPr>
          <t>=IF($C187="","",IFERROR(CIQ($C187,"IQ_DAYS_INVENTORY_OUT",E$180,vd),""))</t>
        </r>
      </text>
    </comment>
    <comment ref="F187" authorId="0" shapeId="0" xr:uid="{7B56F3C3-7C40-4A6C-B0E9-E193C7B61D5F}">
      <text>
        <r>
          <rPr>
            <b/>
            <sz val="9"/>
            <color indexed="81"/>
            <rFont val="Tahoma"/>
            <family val="2"/>
          </rPr>
          <t>=IF($C187="","",IFERROR(CIQ($C187,"IQ_DAYS_INVENTORY_OUT",F$180,vd),""))</t>
        </r>
      </text>
    </comment>
    <comment ref="G187" authorId="0" shapeId="0" xr:uid="{F4F1F32F-E539-40E5-9014-E71023A282D3}">
      <text>
        <r>
          <rPr>
            <b/>
            <sz val="9"/>
            <color indexed="81"/>
            <rFont val="Tahoma"/>
            <family val="2"/>
          </rPr>
          <t>=IF($C187="","",IFERROR(CIQ($C187,"IQ_DAYS_INVENTORY_OUT",G$180,vd),""))</t>
        </r>
      </text>
    </comment>
    <comment ref="H187" authorId="0" shapeId="0" xr:uid="{2DE2B3D1-E867-48BF-8AA8-7B8CA3824E73}">
      <text>
        <r>
          <rPr>
            <b/>
            <sz val="9"/>
            <color indexed="81"/>
            <rFont val="Tahoma"/>
            <family val="2"/>
          </rPr>
          <t>=IF($C187="","",IFERROR(CIQ($C187,"IQ_DAYS_INVENTORY_OUT",H$180,vd),""))</t>
        </r>
      </text>
    </comment>
    <comment ref="I187" authorId="0" shapeId="0" xr:uid="{A092EC9C-0FE1-4A4D-892C-414DE6264ECB}">
      <text>
        <r>
          <rPr>
            <b/>
            <sz val="9"/>
            <color indexed="81"/>
            <rFont val="Tahoma"/>
            <family val="2"/>
          </rPr>
          <t>=IF($C187="","",IFERROR(CIQ($C187,"IQ_DAYS_INVENTORY_OUT",I$180,vd),""))</t>
        </r>
      </text>
    </comment>
    <comment ref="J187" authorId="0" shapeId="0" xr:uid="{E7E9A082-D17E-4758-A1BA-E50280538B18}">
      <text>
        <r>
          <rPr>
            <b/>
            <sz val="9"/>
            <color indexed="81"/>
            <rFont val="Tahoma"/>
            <family val="2"/>
          </rPr>
          <t>=IF($C187="","",IFERROR(CIQ($C187,"IQ_DAYS_INVENTORY_OUT",J$180,vd),""))</t>
        </r>
      </text>
    </comment>
    <comment ref="K187" authorId="0" shapeId="0" xr:uid="{603C8869-7496-42D5-8028-855F75883EE0}">
      <text>
        <r>
          <rPr>
            <b/>
            <sz val="9"/>
            <color indexed="81"/>
            <rFont val="Tahoma"/>
            <family val="2"/>
          </rPr>
          <t>=IF($C187="","",IFERROR(CIQ($C187,"IQ_DAYS_INVENTORY_OUT",K$180,vd),""))</t>
        </r>
      </text>
    </comment>
    <comment ref="L187" authorId="0" shapeId="0" xr:uid="{7AD462A4-F60E-4D96-9A97-F8E6FFD3892E}">
      <text>
        <r>
          <rPr>
            <b/>
            <sz val="9"/>
            <color indexed="81"/>
            <rFont val="Tahoma"/>
            <family val="2"/>
          </rPr>
          <t>=IF($C187="","",IFERROR(CIQ($C187,"IQ_DAYS_INVENTORY_OUT",L$180,vd),""))</t>
        </r>
      </text>
    </comment>
    <comment ref="M187" authorId="0" shapeId="0" xr:uid="{5083BB81-AFAE-4424-BBF1-B1C187EB0155}">
      <text>
        <r>
          <rPr>
            <b/>
            <sz val="9"/>
            <color indexed="81"/>
            <rFont val="Tahoma"/>
            <family val="2"/>
          </rPr>
          <t>=IF($C187="","",IFERROR(CIQ($C187,"IQ_DAYS_INVENTORY_OUT",M$180,vd),""))</t>
        </r>
      </text>
    </comment>
    <comment ref="N187" authorId="0" shapeId="0" xr:uid="{6132C48F-2CC4-4A2D-BF38-FC237DCAD9D0}">
      <text>
        <r>
          <rPr>
            <b/>
            <sz val="9"/>
            <color indexed="81"/>
            <rFont val="Tahoma"/>
            <family val="2"/>
          </rPr>
          <t>=IF($C187="","",IFERROR(CIQ($C187,"IQ_DAYS_INVENTORY_OUT",N$180,vd),""))</t>
        </r>
      </text>
    </comment>
    <comment ref="D188" authorId="0" shapeId="0" xr:uid="{A2377F02-0E33-4AD2-8CC5-2A6EE8400737}">
      <text>
        <r>
          <rPr>
            <b/>
            <sz val="9"/>
            <color indexed="81"/>
            <rFont val="Tahoma"/>
            <family val="2"/>
          </rPr>
          <t>=IF($C188="","",IFERROR(CIQ($C188,"IQ_DAYS_INVENTORY_OUT",D$180,vd),""))</t>
        </r>
      </text>
    </comment>
    <comment ref="E188" authorId="0" shapeId="0" xr:uid="{D8C5173C-8C61-474D-97AE-121D70326223}">
      <text>
        <r>
          <rPr>
            <b/>
            <sz val="9"/>
            <color indexed="81"/>
            <rFont val="Tahoma"/>
            <family val="2"/>
          </rPr>
          <t>=IF($C188="","",IFERROR(CIQ($C188,"IQ_DAYS_INVENTORY_OUT",E$180,vd),""))</t>
        </r>
      </text>
    </comment>
    <comment ref="F188" authorId="0" shapeId="0" xr:uid="{36CC1FC3-2266-4131-920E-589E5BEF6D4E}">
      <text>
        <r>
          <rPr>
            <b/>
            <sz val="9"/>
            <color indexed="81"/>
            <rFont val="Tahoma"/>
            <family val="2"/>
          </rPr>
          <t>=IF($C188="","",IFERROR(CIQ($C188,"IQ_DAYS_INVENTORY_OUT",F$180,vd),""))</t>
        </r>
      </text>
    </comment>
    <comment ref="G188" authorId="0" shapeId="0" xr:uid="{C7CB3B82-B6E5-4490-BBEE-A339CD1747E9}">
      <text>
        <r>
          <rPr>
            <b/>
            <sz val="9"/>
            <color indexed="81"/>
            <rFont val="Tahoma"/>
            <family val="2"/>
          </rPr>
          <t>=IF($C188="","",IFERROR(CIQ($C188,"IQ_DAYS_INVENTORY_OUT",G$180,vd),""))</t>
        </r>
      </text>
    </comment>
    <comment ref="H188" authorId="0" shapeId="0" xr:uid="{649F867D-0BCD-4413-A836-3D60F136A1F3}">
      <text>
        <r>
          <rPr>
            <b/>
            <sz val="9"/>
            <color indexed="81"/>
            <rFont val="Tahoma"/>
            <family val="2"/>
          </rPr>
          <t>=IF($C188="","",IFERROR(CIQ($C188,"IQ_DAYS_INVENTORY_OUT",H$180,vd),""))</t>
        </r>
      </text>
    </comment>
    <comment ref="I188" authorId="0" shapeId="0" xr:uid="{CB88C488-30F5-4318-B804-B9CAE4AD3690}">
      <text>
        <r>
          <rPr>
            <b/>
            <sz val="9"/>
            <color indexed="81"/>
            <rFont val="Tahoma"/>
            <family val="2"/>
          </rPr>
          <t>=IF($C188="","",IFERROR(CIQ($C188,"IQ_DAYS_INVENTORY_OUT",I$180,vd),""))</t>
        </r>
      </text>
    </comment>
    <comment ref="J188" authorId="0" shapeId="0" xr:uid="{F542EE32-2321-420B-A9A7-0125EBE173FD}">
      <text>
        <r>
          <rPr>
            <b/>
            <sz val="9"/>
            <color indexed="81"/>
            <rFont val="Tahoma"/>
            <family val="2"/>
          </rPr>
          <t>=IF($C188="","",IFERROR(CIQ($C188,"IQ_DAYS_INVENTORY_OUT",J$180,vd),""))</t>
        </r>
      </text>
    </comment>
    <comment ref="K188" authorId="0" shapeId="0" xr:uid="{73C59473-F1E1-49E8-8C67-002ADA5BC005}">
      <text>
        <r>
          <rPr>
            <b/>
            <sz val="9"/>
            <color indexed="81"/>
            <rFont val="Tahoma"/>
            <family val="2"/>
          </rPr>
          <t>=IF($C188="","",IFERROR(CIQ($C188,"IQ_DAYS_INVENTORY_OUT",K$180,vd),""))</t>
        </r>
      </text>
    </comment>
    <comment ref="L188" authorId="0" shapeId="0" xr:uid="{96A7F052-6AB4-476C-B08E-0163AB00DBBF}">
      <text>
        <r>
          <rPr>
            <b/>
            <sz val="9"/>
            <color indexed="81"/>
            <rFont val="Tahoma"/>
            <family val="2"/>
          </rPr>
          <t>=IF($C188="","",IFERROR(CIQ($C188,"IQ_DAYS_INVENTORY_OUT",L$180,vd),""))</t>
        </r>
      </text>
    </comment>
    <comment ref="M188" authorId="0" shapeId="0" xr:uid="{B34BB232-FA7F-445E-BE03-870FD345793B}">
      <text>
        <r>
          <rPr>
            <b/>
            <sz val="9"/>
            <color indexed="81"/>
            <rFont val="Tahoma"/>
            <family val="2"/>
          </rPr>
          <t>=IF($C188="","",IFERROR(CIQ($C188,"IQ_DAYS_INVENTORY_OUT",M$180,vd),""))</t>
        </r>
      </text>
    </comment>
    <comment ref="N188" authorId="0" shapeId="0" xr:uid="{93B443EB-0833-476E-A85B-491FBED4076D}">
      <text>
        <r>
          <rPr>
            <b/>
            <sz val="9"/>
            <color indexed="81"/>
            <rFont val="Tahoma"/>
            <family val="2"/>
          </rPr>
          <t>=IF($C188="","",IFERROR(CIQ($C188,"IQ_DAYS_INVENTORY_OUT",N$180,vd),""))</t>
        </r>
      </text>
    </comment>
    <comment ref="D189" authorId="0" shapeId="0" xr:uid="{E787EDEF-7709-4E37-8B01-C5E5984F7F9B}">
      <text>
        <r>
          <rPr>
            <b/>
            <sz val="9"/>
            <color indexed="81"/>
            <rFont val="Tahoma"/>
            <family val="2"/>
          </rPr>
          <t>=IF($C189="","",IFERROR(CIQ($C189,"IQ_DAYS_INVENTORY_OUT",D$180,vd),""))</t>
        </r>
      </text>
    </comment>
    <comment ref="E189" authorId="0" shapeId="0" xr:uid="{E81FD5BB-200D-4F08-9065-85835909852E}">
      <text>
        <r>
          <rPr>
            <b/>
            <sz val="9"/>
            <color indexed="81"/>
            <rFont val="Tahoma"/>
            <family val="2"/>
          </rPr>
          <t>=IF($C189="","",IFERROR(CIQ($C189,"IQ_DAYS_INVENTORY_OUT",E$180,vd),""))</t>
        </r>
      </text>
    </comment>
    <comment ref="F189" authorId="0" shapeId="0" xr:uid="{B00BB4F1-DB5E-4E29-B900-F369B6C9D22A}">
      <text>
        <r>
          <rPr>
            <b/>
            <sz val="9"/>
            <color indexed="81"/>
            <rFont val="Tahoma"/>
            <family val="2"/>
          </rPr>
          <t>=IF($C189="","",IFERROR(CIQ($C189,"IQ_DAYS_INVENTORY_OUT",F$180,vd),""))</t>
        </r>
      </text>
    </comment>
    <comment ref="G189" authorId="0" shapeId="0" xr:uid="{5C0D89F3-F150-4898-97D7-296A4F02D936}">
      <text>
        <r>
          <rPr>
            <b/>
            <sz val="9"/>
            <color indexed="81"/>
            <rFont val="Tahoma"/>
            <family val="2"/>
          </rPr>
          <t>=IF($C189="","",IFERROR(CIQ($C189,"IQ_DAYS_INVENTORY_OUT",G$180,vd),""))</t>
        </r>
      </text>
    </comment>
    <comment ref="H189" authorId="0" shapeId="0" xr:uid="{884160FF-09C8-49EE-BA2A-9629193E5E9E}">
      <text>
        <r>
          <rPr>
            <b/>
            <sz val="9"/>
            <color indexed="81"/>
            <rFont val="Tahoma"/>
            <family val="2"/>
          </rPr>
          <t>=IF($C189="","",IFERROR(CIQ($C189,"IQ_DAYS_INVENTORY_OUT",H$180,vd),""))</t>
        </r>
      </text>
    </comment>
    <comment ref="I189" authorId="0" shapeId="0" xr:uid="{2896E9CB-FE6F-4DB8-B418-CAF736CA0A88}">
      <text>
        <r>
          <rPr>
            <b/>
            <sz val="9"/>
            <color indexed="81"/>
            <rFont val="Tahoma"/>
            <family val="2"/>
          </rPr>
          <t>=IF($C189="","",IFERROR(CIQ($C189,"IQ_DAYS_INVENTORY_OUT",I$180,vd),""))</t>
        </r>
      </text>
    </comment>
    <comment ref="J189" authorId="0" shapeId="0" xr:uid="{16C4AFC8-720B-497A-B311-50EE83170F55}">
      <text>
        <r>
          <rPr>
            <b/>
            <sz val="9"/>
            <color indexed="81"/>
            <rFont val="Tahoma"/>
            <family val="2"/>
          </rPr>
          <t>=IF($C189="","",IFERROR(CIQ($C189,"IQ_DAYS_INVENTORY_OUT",J$180,vd),""))</t>
        </r>
      </text>
    </comment>
    <comment ref="K189" authorId="0" shapeId="0" xr:uid="{0BA80836-A016-45DB-8C14-BBABBE633B28}">
      <text>
        <r>
          <rPr>
            <b/>
            <sz val="9"/>
            <color indexed="81"/>
            <rFont val="Tahoma"/>
            <family val="2"/>
          </rPr>
          <t>=IF($C189="","",IFERROR(CIQ($C189,"IQ_DAYS_INVENTORY_OUT",K$180,vd),""))</t>
        </r>
      </text>
    </comment>
    <comment ref="L189" authorId="0" shapeId="0" xr:uid="{E0713603-BC90-4799-A7B2-78BE43B77628}">
      <text>
        <r>
          <rPr>
            <b/>
            <sz val="9"/>
            <color indexed="81"/>
            <rFont val="Tahoma"/>
            <family val="2"/>
          </rPr>
          <t>=IF($C189="","",IFERROR(CIQ($C189,"IQ_DAYS_INVENTORY_OUT",L$180,vd),""))</t>
        </r>
      </text>
    </comment>
    <comment ref="M189" authorId="0" shapeId="0" xr:uid="{F5740280-964D-455C-A39F-359CE78608F6}">
      <text>
        <r>
          <rPr>
            <b/>
            <sz val="9"/>
            <color indexed="81"/>
            <rFont val="Tahoma"/>
            <family val="2"/>
          </rPr>
          <t>=IF($C189="","",IFERROR(CIQ($C189,"IQ_DAYS_INVENTORY_OUT",M$180,vd),""))</t>
        </r>
      </text>
    </comment>
    <comment ref="N189" authorId="0" shapeId="0" xr:uid="{1C5B93EF-45B6-45E7-8856-06FAA39D8D52}">
      <text>
        <r>
          <rPr>
            <b/>
            <sz val="9"/>
            <color indexed="81"/>
            <rFont val="Tahoma"/>
            <family val="2"/>
          </rPr>
          <t>=IF($C189="","",IFERROR(CIQ($C189,"IQ_DAYS_INVENTORY_OUT",N$180,vd),""))</t>
        </r>
      </text>
    </comment>
    <comment ref="D190" authorId="0" shapeId="0" xr:uid="{B0985BED-578E-488C-B1C4-EA411D996905}">
      <text>
        <r>
          <rPr>
            <b/>
            <sz val="9"/>
            <color indexed="81"/>
            <rFont val="Tahoma"/>
            <family val="2"/>
          </rPr>
          <t>=IF($C190="","",IFERROR(CIQ($C190,"IQ_DAYS_INVENTORY_OUT",D$180,vd),""))</t>
        </r>
      </text>
    </comment>
    <comment ref="E190" authorId="0" shapeId="0" xr:uid="{47B5DE1C-7019-4B51-81B9-6FCFE5D6A261}">
      <text>
        <r>
          <rPr>
            <b/>
            <sz val="9"/>
            <color indexed="81"/>
            <rFont val="Tahoma"/>
            <family val="2"/>
          </rPr>
          <t>=IF($C190="","",IFERROR(CIQ($C190,"IQ_DAYS_INVENTORY_OUT",E$180,vd),""))</t>
        </r>
      </text>
    </comment>
    <comment ref="F190" authorId="0" shapeId="0" xr:uid="{0E7F42F3-8662-4A5A-848D-ACBAD037C1E7}">
      <text>
        <r>
          <rPr>
            <b/>
            <sz val="9"/>
            <color indexed="81"/>
            <rFont val="Tahoma"/>
            <family val="2"/>
          </rPr>
          <t>=IF($C190="","",IFERROR(CIQ($C190,"IQ_DAYS_INVENTORY_OUT",F$180,vd),""))</t>
        </r>
      </text>
    </comment>
    <comment ref="G190" authorId="0" shapeId="0" xr:uid="{626FBE00-CADB-4358-8CF4-880091FB2E12}">
      <text>
        <r>
          <rPr>
            <b/>
            <sz val="9"/>
            <color indexed="81"/>
            <rFont val="Tahoma"/>
            <family val="2"/>
          </rPr>
          <t>=IF($C190="","",IFERROR(CIQ($C190,"IQ_DAYS_INVENTORY_OUT",G$180,vd),""))</t>
        </r>
      </text>
    </comment>
    <comment ref="H190" authorId="0" shapeId="0" xr:uid="{D03D5E52-B1A4-4AC4-9892-588086016CFC}">
      <text>
        <r>
          <rPr>
            <b/>
            <sz val="9"/>
            <color indexed="81"/>
            <rFont val="Tahoma"/>
            <family val="2"/>
          </rPr>
          <t>=IF($C190="","",IFERROR(CIQ($C190,"IQ_DAYS_INVENTORY_OUT",H$180,vd),""))</t>
        </r>
      </text>
    </comment>
    <comment ref="I190" authorId="0" shapeId="0" xr:uid="{55AD4CFE-24B3-43B3-BEB1-FB48E7155795}">
      <text>
        <r>
          <rPr>
            <b/>
            <sz val="9"/>
            <color indexed="81"/>
            <rFont val="Tahoma"/>
            <family val="2"/>
          </rPr>
          <t>=IF($C190="","",IFERROR(CIQ($C190,"IQ_DAYS_INVENTORY_OUT",I$180,vd),""))</t>
        </r>
      </text>
    </comment>
    <comment ref="J190" authorId="0" shapeId="0" xr:uid="{DE509102-FB08-4029-AA0C-BF584D0F4ABE}">
      <text>
        <r>
          <rPr>
            <b/>
            <sz val="9"/>
            <color indexed="81"/>
            <rFont val="Tahoma"/>
            <family val="2"/>
          </rPr>
          <t>=IF($C190="","",IFERROR(CIQ($C190,"IQ_DAYS_INVENTORY_OUT",J$180,vd),""))</t>
        </r>
      </text>
    </comment>
    <comment ref="K190" authorId="0" shapeId="0" xr:uid="{7FBD1FBF-4912-4E64-888E-82FDE10C9A22}">
      <text>
        <r>
          <rPr>
            <b/>
            <sz val="9"/>
            <color indexed="81"/>
            <rFont val="Tahoma"/>
            <family val="2"/>
          </rPr>
          <t>=IF($C190="","",IFERROR(CIQ($C190,"IQ_DAYS_INVENTORY_OUT",K$180,vd),""))</t>
        </r>
      </text>
    </comment>
    <comment ref="L190" authorId="0" shapeId="0" xr:uid="{D61A41F7-41E7-4643-979A-80DA9B7774F1}">
      <text>
        <r>
          <rPr>
            <b/>
            <sz val="9"/>
            <color indexed="81"/>
            <rFont val="Tahoma"/>
            <family val="2"/>
          </rPr>
          <t>=IF($C190="","",IFERROR(CIQ($C190,"IQ_DAYS_INVENTORY_OUT",L$180,vd),""))</t>
        </r>
      </text>
    </comment>
    <comment ref="M190" authorId="0" shapeId="0" xr:uid="{62B8E13F-7788-40B1-851D-33FE65A230CD}">
      <text>
        <r>
          <rPr>
            <b/>
            <sz val="9"/>
            <color indexed="81"/>
            <rFont val="Tahoma"/>
            <family val="2"/>
          </rPr>
          <t>=IF($C190="","",IFERROR(CIQ($C190,"IQ_DAYS_INVENTORY_OUT",M$180,vd),""))</t>
        </r>
      </text>
    </comment>
    <comment ref="N190" authorId="0" shapeId="0" xr:uid="{68463A94-B353-425A-BC5A-8AFEBB001439}">
      <text>
        <r>
          <rPr>
            <b/>
            <sz val="9"/>
            <color indexed="81"/>
            <rFont val="Tahoma"/>
            <family val="2"/>
          </rPr>
          <t>=IF($C190="","",IFERROR(CIQ($C190,"IQ_DAYS_INVENTORY_OUT",N$180,vd),""))</t>
        </r>
      </text>
    </comment>
    <comment ref="D191" authorId="0" shapeId="0" xr:uid="{9C600211-B021-4A62-A0D8-E26696482AD6}">
      <text>
        <r>
          <rPr>
            <b/>
            <sz val="9"/>
            <color indexed="81"/>
            <rFont val="Tahoma"/>
            <family val="2"/>
          </rPr>
          <t>=IF($C191="","",IFERROR(CIQ($C191,"IQ_DAYS_INVENTORY_OUT",D$180,vd),""))</t>
        </r>
      </text>
    </comment>
    <comment ref="E191" authorId="0" shapeId="0" xr:uid="{46EF1CA6-D803-4AA0-9184-D22E13D3D857}">
      <text>
        <r>
          <rPr>
            <b/>
            <sz val="9"/>
            <color indexed="81"/>
            <rFont val="Tahoma"/>
            <family val="2"/>
          </rPr>
          <t>=IF($C191="","",IFERROR(CIQ($C191,"IQ_DAYS_INVENTORY_OUT",E$180,vd),""))</t>
        </r>
      </text>
    </comment>
    <comment ref="F191" authorId="0" shapeId="0" xr:uid="{AB4AA262-14D2-4318-8976-8D529566BBA2}">
      <text>
        <r>
          <rPr>
            <b/>
            <sz val="9"/>
            <color indexed="81"/>
            <rFont val="Tahoma"/>
            <family val="2"/>
          </rPr>
          <t>=IF($C191="","",IFERROR(CIQ($C191,"IQ_DAYS_INVENTORY_OUT",F$180,vd),""))</t>
        </r>
      </text>
    </comment>
    <comment ref="G191" authorId="0" shapeId="0" xr:uid="{77E82D13-9404-4763-BDC8-B2BF1B57E408}">
      <text>
        <r>
          <rPr>
            <b/>
            <sz val="9"/>
            <color indexed="81"/>
            <rFont val="Tahoma"/>
            <family val="2"/>
          </rPr>
          <t>=IF($C191="","",IFERROR(CIQ($C191,"IQ_DAYS_INVENTORY_OUT",G$180,vd),""))</t>
        </r>
      </text>
    </comment>
    <comment ref="H191" authorId="0" shapeId="0" xr:uid="{D2196E9E-A1F8-4B67-B5A0-813A63B6463E}">
      <text>
        <r>
          <rPr>
            <b/>
            <sz val="9"/>
            <color indexed="81"/>
            <rFont val="Tahoma"/>
            <family val="2"/>
          </rPr>
          <t>=IF($C191="","",IFERROR(CIQ($C191,"IQ_DAYS_INVENTORY_OUT",H$180,vd),""))</t>
        </r>
      </text>
    </comment>
    <comment ref="I191" authorId="0" shapeId="0" xr:uid="{6A2BEAC8-D8F8-4D14-A6AD-2BB53E49B9CA}">
      <text>
        <r>
          <rPr>
            <b/>
            <sz val="9"/>
            <color indexed="81"/>
            <rFont val="Tahoma"/>
            <family val="2"/>
          </rPr>
          <t>=IF($C191="","",IFERROR(CIQ($C191,"IQ_DAYS_INVENTORY_OUT",I$180,vd),""))</t>
        </r>
      </text>
    </comment>
    <comment ref="J191" authorId="0" shapeId="0" xr:uid="{2FC3A2F9-2B03-4048-8D40-FD9EEE4B7E6D}">
      <text>
        <r>
          <rPr>
            <b/>
            <sz val="9"/>
            <color indexed="81"/>
            <rFont val="Tahoma"/>
            <family val="2"/>
          </rPr>
          <t>=IF($C191="","",IFERROR(CIQ($C191,"IQ_DAYS_INVENTORY_OUT",J$180,vd),""))</t>
        </r>
      </text>
    </comment>
    <comment ref="K191" authorId="0" shapeId="0" xr:uid="{2AD898E7-7E9A-4F6F-B149-B17DD173CEF6}">
      <text>
        <r>
          <rPr>
            <b/>
            <sz val="9"/>
            <color indexed="81"/>
            <rFont val="Tahoma"/>
            <family val="2"/>
          </rPr>
          <t>=IF($C191="","",IFERROR(CIQ($C191,"IQ_DAYS_INVENTORY_OUT",K$180,vd),""))</t>
        </r>
      </text>
    </comment>
    <comment ref="L191" authorId="0" shapeId="0" xr:uid="{8B08AADE-2D37-4C96-9396-F90FA020D815}">
      <text>
        <r>
          <rPr>
            <b/>
            <sz val="9"/>
            <color indexed="81"/>
            <rFont val="Tahoma"/>
            <family val="2"/>
          </rPr>
          <t>=IF($C191="","",IFERROR(CIQ($C191,"IQ_DAYS_INVENTORY_OUT",L$180,vd),""))</t>
        </r>
      </text>
    </comment>
    <comment ref="M191" authorId="0" shapeId="0" xr:uid="{EA1A99C6-4F97-46E7-803B-46209AA56D8C}">
      <text>
        <r>
          <rPr>
            <b/>
            <sz val="9"/>
            <color indexed="81"/>
            <rFont val="Tahoma"/>
            <family val="2"/>
          </rPr>
          <t>=IF($C191="","",IFERROR(CIQ($C191,"IQ_DAYS_INVENTORY_OUT",M$180,vd),""))</t>
        </r>
      </text>
    </comment>
    <comment ref="N191" authorId="0" shapeId="0" xr:uid="{24E1EF55-ABF2-4AF7-BC1A-DC3F9EDEEF34}">
      <text>
        <r>
          <rPr>
            <b/>
            <sz val="9"/>
            <color indexed="81"/>
            <rFont val="Tahoma"/>
            <family val="2"/>
          </rPr>
          <t>=IF($C191="","",IFERROR(CIQ($C191,"IQ_DAYS_INVENTORY_OUT",N$180,vd),""))</t>
        </r>
      </text>
    </comment>
    <comment ref="D192" authorId="0" shapeId="0" xr:uid="{7DA31F6C-97B1-4E88-B214-32B5518C6B0B}">
      <text>
        <r>
          <rPr>
            <b/>
            <sz val="9"/>
            <color indexed="81"/>
            <rFont val="Tahoma"/>
            <family val="2"/>
          </rPr>
          <t>=IF($C192="","",IFERROR(CIQ($C192,"IQ_DAYS_INVENTORY_OUT",D$180,vd),""))</t>
        </r>
      </text>
    </comment>
    <comment ref="E192" authorId="0" shapeId="0" xr:uid="{CFB0F2F6-A8BA-4127-9142-0D159087ADA6}">
      <text>
        <r>
          <rPr>
            <b/>
            <sz val="9"/>
            <color indexed="81"/>
            <rFont val="Tahoma"/>
            <family val="2"/>
          </rPr>
          <t>=IF($C192="","",IFERROR(CIQ($C192,"IQ_DAYS_INVENTORY_OUT",E$180,vd),""))</t>
        </r>
      </text>
    </comment>
    <comment ref="F192" authorId="0" shapeId="0" xr:uid="{0818ECED-0856-4B2D-895C-1304C885011A}">
      <text>
        <r>
          <rPr>
            <b/>
            <sz val="9"/>
            <color indexed="81"/>
            <rFont val="Tahoma"/>
            <family val="2"/>
          </rPr>
          <t>=IF($C192="","",IFERROR(CIQ($C192,"IQ_DAYS_INVENTORY_OUT",F$180,vd),""))</t>
        </r>
      </text>
    </comment>
    <comment ref="G192" authorId="0" shapeId="0" xr:uid="{82EECD9E-09B6-4643-9717-10E7AC548A38}">
      <text>
        <r>
          <rPr>
            <b/>
            <sz val="9"/>
            <color indexed="81"/>
            <rFont val="Tahoma"/>
            <family val="2"/>
          </rPr>
          <t>=IF($C192="","",IFERROR(CIQ($C192,"IQ_DAYS_INVENTORY_OUT",G$180,vd),""))</t>
        </r>
      </text>
    </comment>
    <comment ref="H192" authorId="0" shapeId="0" xr:uid="{59BAD9A0-1C2E-468B-B8B7-2BFEFF12B16B}">
      <text>
        <r>
          <rPr>
            <b/>
            <sz val="9"/>
            <color indexed="81"/>
            <rFont val="Tahoma"/>
            <family val="2"/>
          </rPr>
          <t>=IF($C192="","",IFERROR(CIQ($C192,"IQ_DAYS_INVENTORY_OUT",H$180,vd),""))</t>
        </r>
      </text>
    </comment>
    <comment ref="I192" authorId="0" shapeId="0" xr:uid="{9B693A3F-F543-42E3-89CA-8604C61ACDB3}">
      <text>
        <r>
          <rPr>
            <b/>
            <sz val="9"/>
            <color indexed="81"/>
            <rFont val="Tahoma"/>
            <family val="2"/>
          </rPr>
          <t>=IF($C192="","",IFERROR(CIQ($C192,"IQ_DAYS_INVENTORY_OUT",I$180,vd),""))</t>
        </r>
      </text>
    </comment>
    <comment ref="J192" authorId="0" shapeId="0" xr:uid="{7684E267-004A-41F5-8AEE-1459BF783AC3}">
      <text>
        <r>
          <rPr>
            <b/>
            <sz val="9"/>
            <color indexed="81"/>
            <rFont val="Tahoma"/>
            <family val="2"/>
          </rPr>
          <t>=IF($C192="","",IFERROR(CIQ($C192,"IQ_DAYS_INVENTORY_OUT",J$180,vd),""))</t>
        </r>
      </text>
    </comment>
    <comment ref="K192" authorId="0" shapeId="0" xr:uid="{900F4D5B-7703-45DF-BC73-47C33DC4192C}">
      <text>
        <r>
          <rPr>
            <b/>
            <sz val="9"/>
            <color indexed="81"/>
            <rFont val="Tahoma"/>
            <family val="2"/>
          </rPr>
          <t>=IF($C192="","",IFERROR(CIQ($C192,"IQ_DAYS_INVENTORY_OUT",K$180,vd),""))</t>
        </r>
      </text>
    </comment>
    <comment ref="L192" authorId="0" shapeId="0" xr:uid="{4865A5F8-1AF0-418D-94C2-894D9592A8CD}">
      <text>
        <r>
          <rPr>
            <b/>
            <sz val="9"/>
            <color indexed="81"/>
            <rFont val="Tahoma"/>
            <family val="2"/>
          </rPr>
          <t>=IF($C192="","",IFERROR(CIQ($C192,"IQ_DAYS_INVENTORY_OUT",L$180,vd),""))</t>
        </r>
      </text>
    </comment>
    <comment ref="M192" authorId="0" shapeId="0" xr:uid="{2A029278-34D5-48E6-AE3E-AC6EFD6CAE4B}">
      <text>
        <r>
          <rPr>
            <b/>
            <sz val="9"/>
            <color indexed="81"/>
            <rFont val="Tahoma"/>
            <family val="2"/>
          </rPr>
          <t>=IF($C192="","",IFERROR(CIQ($C192,"IQ_DAYS_INVENTORY_OUT",M$180,vd),""))</t>
        </r>
      </text>
    </comment>
    <comment ref="N192" authorId="0" shapeId="0" xr:uid="{E2176B81-C73C-4A52-88E6-C7475F5112CC}">
      <text>
        <r>
          <rPr>
            <b/>
            <sz val="9"/>
            <color indexed="81"/>
            <rFont val="Tahoma"/>
            <family val="2"/>
          </rPr>
          <t>=IF($C192="","",IFERROR(CIQ($C192,"IQ_DAYS_INVENTORY_OUT",N$180,vd),""))</t>
        </r>
      </text>
    </comment>
    <comment ref="D193" authorId="0" shapeId="0" xr:uid="{5DAE22D3-D9DE-4D42-819E-F7B761C4D7B8}">
      <text>
        <r>
          <rPr>
            <b/>
            <sz val="9"/>
            <color indexed="81"/>
            <rFont val="Tahoma"/>
            <family val="2"/>
          </rPr>
          <t>=IF($C193="","",IFERROR(CIQ($C193,"IQ_DAYS_INVENTORY_OUT",D$180,vd),""))</t>
        </r>
      </text>
    </comment>
    <comment ref="E193" authorId="0" shapeId="0" xr:uid="{0B32AFAD-1136-4C7B-9FCC-2607108BD00F}">
      <text>
        <r>
          <rPr>
            <b/>
            <sz val="9"/>
            <color indexed="81"/>
            <rFont val="Tahoma"/>
            <family val="2"/>
          </rPr>
          <t>=IF($C193="","",IFERROR(CIQ($C193,"IQ_DAYS_INVENTORY_OUT",E$180,vd),""))</t>
        </r>
      </text>
    </comment>
    <comment ref="F193" authorId="0" shapeId="0" xr:uid="{84C99D4A-4FE7-44EC-A789-435FC1E696A7}">
      <text>
        <r>
          <rPr>
            <b/>
            <sz val="9"/>
            <color indexed="81"/>
            <rFont val="Tahoma"/>
            <family val="2"/>
          </rPr>
          <t>=IF($C193="","",IFERROR(CIQ($C193,"IQ_DAYS_INVENTORY_OUT",F$180,vd),""))</t>
        </r>
      </text>
    </comment>
    <comment ref="G193" authorId="0" shapeId="0" xr:uid="{4F8DAAAF-CC90-4EB7-8CD4-B621AF2F32F9}">
      <text>
        <r>
          <rPr>
            <b/>
            <sz val="9"/>
            <color indexed="81"/>
            <rFont val="Tahoma"/>
            <family val="2"/>
          </rPr>
          <t>=IF($C193="","",IFERROR(CIQ($C193,"IQ_DAYS_INVENTORY_OUT",G$180,vd),""))</t>
        </r>
      </text>
    </comment>
    <comment ref="H193" authorId="0" shapeId="0" xr:uid="{EFE3BC51-A5D3-4538-9AE3-12575B0FFED1}">
      <text>
        <r>
          <rPr>
            <b/>
            <sz val="9"/>
            <color indexed="81"/>
            <rFont val="Tahoma"/>
            <family val="2"/>
          </rPr>
          <t>=IF($C193="","",IFERROR(CIQ($C193,"IQ_DAYS_INVENTORY_OUT",H$180,vd),""))</t>
        </r>
      </text>
    </comment>
    <comment ref="I193" authorId="0" shapeId="0" xr:uid="{090A9AA9-5681-4F08-8FEE-E9097B058DE0}">
      <text>
        <r>
          <rPr>
            <b/>
            <sz val="9"/>
            <color indexed="81"/>
            <rFont val="Tahoma"/>
            <family val="2"/>
          </rPr>
          <t>=IF($C193="","",IFERROR(CIQ($C193,"IQ_DAYS_INVENTORY_OUT",I$180,vd),""))</t>
        </r>
      </text>
    </comment>
    <comment ref="J193" authorId="0" shapeId="0" xr:uid="{EA142D3B-6731-49FB-AD64-82F53B6972A9}">
      <text>
        <r>
          <rPr>
            <b/>
            <sz val="9"/>
            <color indexed="81"/>
            <rFont val="Tahoma"/>
            <family val="2"/>
          </rPr>
          <t>=IF($C193="","",IFERROR(CIQ($C193,"IQ_DAYS_INVENTORY_OUT",J$180,vd),""))</t>
        </r>
      </text>
    </comment>
    <comment ref="K193" authorId="0" shapeId="0" xr:uid="{D1AD4BC2-3BF1-49FD-87AF-CD6F4A74BC7B}">
      <text>
        <r>
          <rPr>
            <b/>
            <sz val="9"/>
            <color indexed="81"/>
            <rFont val="Tahoma"/>
            <family val="2"/>
          </rPr>
          <t>=IF($C193="","",IFERROR(CIQ($C193,"IQ_DAYS_INVENTORY_OUT",K$180,vd),""))</t>
        </r>
      </text>
    </comment>
    <comment ref="L193" authorId="0" shapeId="0" xr:uid="{F29B67B9-1410-4992-AAA2-51BF58258021}">
      <text>
        <r>
          <rPr>
            <b/>
            <sz val="9"/>
            <color indexed="81"/>
            <rFont val="Tahoma"/>
            <family val="2"/>
          </rPr>
          <t>=IF($C193="","",IFERROR(CIQ($C193,"IQ_DAYS_INVENTORY_OUT",L$180,vd),""))</t>
        </r>
      </text>
    </comment>
    <comment ref="M193" authorId="0" shapeId="0" xr:uid="{FB93813E-42DD-42E1-8FC8-FD676C19D9EC}">
      <text>
        <r>
          <rPr>
            <b/>
            <sz val="9"/>
            <color indexed="81"/>
            <rFont val="Tahoma"/>
            <family val="2"/>
          </rPr>
          <t>=IF($C193="","",IFERROR(CIQ($C193,"IQ_DAYS_INVENTORY_OUT",M$180,vd),""))</t>
        </r>
      </text>
    </comment>
    <comment ref="N193" authorId="0" shapeId="0" xr:uid="{A1140D59-153C-4125-93EA-6C0A2547C5D1}">
      <text>
        <r>
          <rPr>
            <b/>
            <sz val="9"/>
            <color indexed="81"/>
            <rFont val="Tahoma"/>
            <family val="2"/>
          </rPr>
          <t>=IF($C193="","",IFERROR(CIQ($C193,"IQ_DAYS_INVENTORY_OUT",N$180,vd),""))</t>
        </r>
      </text>
    </comment>
    <comment ref="D194" authorId="0" shapeId="0" xr:uid="{348EDE99-436B-4487-88FA-F95F801030B2}">
      <text>
        <r>
          <rPr>
            <b/>
            <sz val="9"/>
            <color indexed="81"/>
            <rFont val="Tahoma"/>
            <family val="2"/>
          </rPr>
          <t>=IF($C194="","",IFERROR(CIQ($C194,"IQ_DAYS_INVENTORY_OUT",D$180,vd),""))</t>
        </r>
      </text>
    </comment>
    <comment ref="E194" authorId="0" shapeId="0" xr:uid="{B2DC9FFC-9F88-4945-AA37-7E66FAD58716}">
      <text>
        <r>
          <rPr>
            <b/>
            <sz val="9"/>
            <color indexed="81"/>
            <rFont val="Tahoma"/>
            <family val="2"/>
          </rPr>
          <t>=IF($C194="","",IFERROR(CIQ($C194,"IQ_DAYS_INVENTORY_OUT",E$180,vd),""))</t>
        </r>
      </text>
    </comment>
    <comment ref="F194" authorId="0" shapeId="0" xr:uid="{3EA67AC5-9024-4567-AC43-90D95B59E7E8}">
      <text>
        <r>
          <rPr>
            <b/>
            <sz val="9"/>
            <color indexed="81"/>
            <rFont val="Tahoma"/>
            <family val="2"/>
          </rPr>
          <t>=IF($C194="","",IFERROR(CIQ($C194,"IQ_DAYS_INVENTORY_OUT",F$180,vd),""))</t>
        </r>
      </text>
    </comment>
    <comment ref="G194" authorId="0" shapeId="0" xr:uid="{FBB6E1D8-A7AD-4878-B150-C66BBB2A726D}">
      <text>
        <r>
          <rPr>
            <b/>
            <sz val="9"/>
            <color indexed="81"/>
            <rFont val="Tahoma"/>
            <family val="2"/>
          </rPr>
          <t>=IF($C194="","",IFERROR(CIQ($C194,"IQ_DAYS_INVENTORY_OUT",G$180,vd),""))</t>
        </r>
      </text>
    </comment>
    <comment ref="H194" authorId="0" shapeId="0" xr:uid="{E79E65F9-967D-4996-BDB9-18103D7C5B0B}">
      <text>
        <r>
          <rPr>
            <b/>
            <sz val="9"/>
            <color indexed="81"/>
            <rFont val="Tahoma"/>
            <family val="2"/>
          </rPr>
          <t>=IF($C194="","",IFERROR(CIQ($C194,"IQ_DAYS_INVENTORY_OUT",H$180,vd),""))</t>
        </r>
      </text>
    </comment>
    <comment ref="I194" authorId="0" shapeId="0" xr:uid="{D4239306-C382-4104-89ED-4ED35B6DC734}">
      <text>
        <r>
          <rPr>
            <b/>
            <sz val="9"/>
            <color indexed="81"/>
            <rFont val="Tahoma"/>
            <family val="2"/>
          </rPr>
          <t>=IF($C194="","",IFERROR(CIQ($C194,"IQ_DAYS_INVENTORY_OUT",I$180,vd),""))</t>
        </r>
      </text>
    </comment>
    <comment ref="J194" authorId="0" shapeId="0" xr:uid="{9BCC1B00-6673-4C22-9DC9-B6348126BB15}">
      <text>
        <r>
          <rPr>
            <b/>
            <sz val="9"/>
            <color indexed="81"/>
            <rFont val="Tahoma"/>
            <family val="2"/>
          </rPr>
          <t>=IF($C194="","",IFERROR(CIQ($C194,"IQ_DAYS_INVENTORY_OUT",J$180,vd),""))</t>
        </r>
      </text>
    </comment>
    <comment ref="K194" authorId="0" shapeId="0" xr:uid="{47688DF4-DDD9-462C-AAF1-B36EEB9C4CC2}">
      <text>
        <r>
          <rPr>
            <b/>
            <sz val="9"/>
            <color indexed="81"/>
            <rFont val="Tahoma"/>
            <family val="2"/>
          </rPr>
          <t>=IF($C194="","",IFERROR(CIQ($C194,"IQ_DAYS_INVENTORY_OUT",K$180,vd),""))</t>
        </r>
      </text>
    </comment>
    <comment ref="L194" authorId="0" shapeId="0" xr:uid="{7E976039-3AA4-4F18-BCF3-EC081CDEB29B}">
      <text>
        <r>
          <rPr>
            <b/>
            <sz val="9"/>
            <color indexed="81"/>
            <rFont val="Tahoma"/>
            <family val="2"/>
          </rPr>
          <t>=IF($C194="","",IFERROR(CIQ($C194,"IQ_DAYS_INVENTORY_OUT",L$180,vd),""))</t>
        </r>
      </text>
    </comment>
    <comment ref="M194" authorId="0" shapeId="0" xr:uid="{E3CDEF94-FDBB-4FCB-895E-CD358F8BAB11}">
      <text>
        <r>
          <rPr>
            <b/>
            <sz val="9"/>
            <color indexed="81"/>
            <rFont val="Tahoma"/>
            <family val="2"/>
          </rPr>
          <t>=IF($C194="","",IFERROR(CIQ($C194,"IQ_DAYS_INVENTORY_OUT",M$180,vd),""))</t>
        </r>
      </text>
    </comment>
    <comment ref="N194" authorId="0" shapeId="0" xr:uid="{054A04B5-B015-46C9-B044-6D9A28AE205F}">
      <text>
        <r>
          <rPr>
            <b/>
            <sz val="9"/>
            <color indexed="81"/>
            <rFont val="Tahoma"/>
            <family val="2"/>
          </rPr>
          <t>=IF($C194="","",IFERROR(CIQ($C194,"IQ_DAYS_INVENTORY_OUT",N$180,vd),""))</t>
        </r>
      </text>
    </comment>
    <comment ref="D195" authorId="0" shapeId="0" xr:uid="{75FA60CD-AB5F-4078-99F6-D7E40C0C016A}">
      <text>
        <r>
          <rPr>
            <b/>
            <sz val="9"/>
            <color indexed="81"/>
            <rFont val="Tahoma"/>
            <family val="2"/>
          </rPr>
          <t>=IF($C195="","",IFERROR(CIQ($C195,"IQ_DAYS_INVENTORY_OUT",D$180,vd),""))</t>
        </r>
      </text>
    </comment>
    <comment ref="E195" authorId="0" shapeId="0" xr:uid="{15AD6240-5F65-48B3-86AB-272EC0927BBD}">
      <text>
        <r>
          <rPr>
            <b/>
            <sz val="9"/>
            <color indexed="81"/>
            <rFont val="Tahoma"/>
            <family val="2"/>
          </rPr>
          <t>=IF($C195="","",IFERROR(CIQ($C195,"IQ_DAYS_INVENTORY_OUT",E$180,vd),""))</t>
        </r>
      </text>
    </comment>
    <comment ref="F195" authorId="0" shapeId="0" xr:uid="{9A27C97B-E382-4A2B-97A1-77D00E902AF4}">
      <text>
        <r>
          <rPr>
            <b/>
            <sz val="9"/>
            <color indexed="81"/>
            <rFont val="Tahoma"/>
            <family val="2"/>
          </rPr>
          <t>=IF($C195="","",IFERROR(CIQ($C195,"IQ_DAYS_INVENTORY_OUT",F$180,vd),""))</t>
        </r>
      </text>
    </comment>
    <comment ref="G195" authorId="0" shapeId="0" xr:uid="{91DABF11-DAC8-49F3-B146-4E1C860468C3}">
      <text>
        <r>
          <rPr>
            <b/>
            <sz val="9"/>
            <color indexed="81"/>
            <rFont val="Tahoma"/>
            <family val="2"/>
          </rPr>
          <t>=IF($C195="","",IFERROR(CIQ($C195,"IQ_DAYS_INVENTORY_OUT",G$180,vd),""))</t>
        </r>
      </text>
    </comment>
    <comment ref="H195" authorId="0" shapeId="0" xr:uid="{43F27B99-D0C4-4ED5-8D64-470954FA41C1}">
      <text>
        <r>
          <rPr>
            <b/>
            <sz val="9"/>
            <color indexed="81"/>
            <rFont val="Tahoma"/>
            <family val="2"/>
          </rPr>
          <t>=IF($C195="","",IFERROR(CIQ($C195,"IQ_DAYS_INVENTORY_OUT",H$180,vd),""))</t>
        </r>
      </text>
    </comment>
    <comment ref="I195" authorId="0" shapeId="0" xr:uid="{C3A9BEAB-E421-4CDD-BDF2-633355A72298}">
      <text>
        <r>
          <rPr>
            <b/>
            <sz val="9"/>
            <color indexed="81"/>
            <rFont val="Tahoma"/>
            <family val="2"/>
          </rPr>
          <t>=IF($C195="","",IFERROR(CIQ($C195,"IQ_DAYS_INVENTORY_OUT",I$180,vd),""))</t>
        </r>
      </text>
    </comment>
    <comment ref="J195" authorId="0" shapeId="0" xr:uid="{9B85545E-6460-43DC-A3B7-C915C486C793}">
      <text>
        <r>
          <rPr>
            <b/>
            <sz val="9"/>
            <color indexed="81"/>
            <rFont val="Tahoma"/>
            <family val="2"/>
          </rPr>
          <t>=IF($C195="","",IFERROR(CIQ($C195,"IQ_DAYS_INVENTORY_OUT",J$180,vd),""))</t>
        </r>
      </text>
    </comment>
    <comment ref="K195" authorId="0" shapeId="0" xr:uid="{EA78C352-6989-4502-9C6C-B09B231A7EA0}">
      <text>
        <r>
          <rPr>
            <b/>
            <sz val="9"/>
            <color indexed="81"/>
            <rFont val="Tahoma"/>
            <family val="2"/>
          </rPr>
          <t>=IF($C195="","",IFERROR(CIQ($C195,"IQ_DAYS_INVENTORY_OUT",K$180,vd),""))</t>
        </r>
      </text>
    </comment>
    <comment ref="L195" authorId="0" shapeId="0" xr:uid="{79F70C55-9E55-4F78-B802-C27D1FB88B39}">
      <text>
        <r>
          <rPr>
            <b/>
            <sz val="9"/>
            <color indexed="81"/>
            <rFont val="Tahoma"/>
            <family val="2"/>
          </rPr>
          <t>=IF($C195="","",IFERROR(CIQ($C195,"IQ_DAYS_INVENTORY_OUT",L$180,vd),""))</t>
        </r>
      </text>
    </comment>
    <comment ref="M195" authorId="0" shapeId="0" xr:uid="{E4820AB6-A150-431E-8377-DD5E478D34EA}">
      <text>
        <r>
          <rPr>
            <b/>
            <sz val="9"/>
            <color indexed="81"/>
            <rFont val="Tahoma"/>
            <family val="2"/>
          </rPr>
          <t>=IF($C195="","",IFERROR(CIQ($C195,"IQ_DAYS_INVENTORY_OUT",M$180,vd),""))</t>
        </r>
      </text>
    </comment>
    <comment ref="N195" authorId="0" shapeId="0" xr:uid="{60FBFE24-E13E-4056-994F-E4D02C06F84C}">
      <text>
        <r>
          <rPr>
            <b/>
            <sz val="9"/>
            <color indexed="81"/>
            <rFont val="Tahoma"/>
            <family val="2"/>
          </rPr>
          <t>=IF($C195="","",IFERROR(CIQ($C195,"IQ_DAYS_INVENTORY_OUT",N$180,vd),""))</t>
        </r>
      </text>
    </comment>
    <comment ref="D204" authorId="0" shapeId="0" xr:uid="{ACA919D8-22BD-40C5-95E0-E2847155A17A}">
      <text>
        <r>
          <rPr>
            <b/>
            <sz val="9"/>
            <color indexed="81"/>
            <rFont val="Tahoma"/>
            <family val="2"/>
          </rPr>
          <t>=IF($C204="","",IFERROR(CIQ($C204,"IQ_DAYS_SALES_OUT",D$203,vd),""))</t>
        </r>
      </text>
    </comment>
    <comment ref="E204" authorId="0" shapeId="0" xr:uid="{A560B6C0-239A-40DD-82C0-022976B70EC8}">
      <text>
        <r>
          <rPr>
            <b/>
            <sz val="9"/>
            <color indexed="81"/>
            <rFont val="Tahoma"/>
            <family val="2"/>
          </rPr>
          <t>=IF($C204="","",IFERROR(CIQ($C204,"IQ_DAYS_SALES_OUT",E$203,vd),""))</t>
        </r>
      </text>
    </comment>
    <comment ref="F204" authorId="0" shapeId="0" xr:uid="{73B13D24-5E78-4BA0-B9AC-FE199DB8A7EF}">
      <text>
        <r>
          <rPr>
            <b/>
            <sz val="9"/>
            <color indexed="81"/>
            <rFont val="Tahoma"/>
            <family val="2"/>
          </rPr>
          <t>=IF($C204="","",IFERROR(CIQ($C204,"IQ_DAYS_SALES_OUT",F$203,vd),""))</t>
        </r>
      </text>
    </comment>
    <comment ref="G204" authorId="0" shapeId="0" xr:uid="{D409358D-5C1D-4DEA-A01B-498E8ACC6ADA}">
      <text>
        <r>
          <rPr>
            <b/>
            <sz val="9"/>
            <color indexed="81"/>
            <rFont val="Tahoma"/>
            <family val="2"/>
          </rPr>
          <t>=IF($C204="","",IFERROR(CIQ($C204,"IQ_DAYS_SALES_OUT",G$203,vd),""))</t>
        </r>
      </text>
    </comment>
    <comment ref="H204" authorId="0" shapeId="0" xr:uid="{82EED1F8-CCCF-460D-83B4-303EA40EE57E}">
      <text>
        <r>
          <rPr>
            <b/>
            <sz val="9"/>
            <color indexed="81"/>
            <rFont val="Tahoma"/>
            <family val="2"/>
          </rPr>
          <t>=IF($C204="","",IFERROR(CIQ($C204,"IQ_DAYS_SALES_OUT",H$203,vd),""))</t>
        </r>
      </text>
    </comment>
    <comment ref="I204" authorId="0" shapeId="0" xr:uid="{26C6081A-534D-402D-B1BA-F067F772DD44}">
      <text>
        <r>
          <rPr>
            <b/>
            <sz val="9"/>
            <color indexed="81"/>
            <rFont val="Tahoma"/>
            <family val="2"/>
          </rPr>
          <t>=IF($C204="","",IFERROR(CIQ($C204,"IQ_DAYS_SALES_OUT",I$203,vd),""))</t>
        </r>
      </text>
    </comment>
    <comment ref="J204" authorId="0" shapeId="0" xr:uid="{A4289BEE-E7A3-4301-B5F1-152001D1FFFC}">
      <text>
        <r>
          <rPr>
            <b/>
            <sz val="9"/>
            <color indexed="81"/>
            <rFont val="Tahoma"/>
            <family val="2"/>
          </rPr>
          <t>=IF($C204="","",IFERROR(CIQ($C204,"IQ_DAYS_SALES_OUT",J$203,vd),""))</t>
        </r>
      </text>
    </comment>
    <comment ref="K204" authorId="0" shapeId="0" xr:uid="{4E96104D-101D-4577-B2B7-972DFEEF961C}">
      <text>
        <r>
          <rPr>
            <b/>
            <sz val="9"/>
            <color indexed="81"/>
            <rFont val="Tahoma"/>
            <family val="2"/>
          </rPr>
          <t>=IF($C204="","",IFERROR(CIQ($C204,"IQ_DAYS_SALES_OUT",K$203,vd),""))</t>
        </r>
      </text>
    </comment>
    <comment ref="L204" authorId="0" shapeId="0" xr:uid="{C17B6BBF-ADD7-41AF-843E-AC25CE4102C9}">
      <text>
        <r>
          <rPr>
            <b/>
            <sz val="9"/>
            <color indexed="81"/>
            <rFont val="Tahoma"/>
            <family val="2"/>
          </rPr>
          <t>=IF($C204="","",IFERROR(CIQ($C204,"IQ_DAYS_SALES_OUT",L$203,vd),""))</t>
        </r>
      </text>
    </comment>
    <comment ref="M204" authorId="0" shapeId="0" xr:uid="{187C1282-6020-434A-9FC9-B62ECF5AD6DB}">
      <text>
        <r>
          <rPr>
            <b/>
            <sz val="9"/>
            <color indexed="81"/>
            <rFont val="Tahoma"/>
            <family val="2"/>
          </rPr>
          <t>=IF($C204="","",IFERROR(CIQ($C204,"IQ_DAYS_SALES_OUT",M$203,vd),""))</t>
        </r>
      </text>
    </comment>
    <comment ref="N204" authorId="0" shapeId="0" xr:uid="{DF166E85-33DF-411B-A22B-D7D14917CEA0}">
      <text>
        <r>
          <rPr>
            <b/>
            <sz val="9"/>
            <color indexed="81"/>
            <rFont val="Tahoma"/>
            <family val="2"/>
          </rPr>
          <t>=IF($C204="","",IFERROR(CIQ($C204,"IQ_DAYS_SALES_OUT",N$203,vd),""))</t>
        </r>
      </text>
    </comment>
    <comment ref="D205" authorId="0" shapeId="0" xr:uid="{651097B5-5674-4D1D-B453-CEB7A903C20E}">
      <text>
        <r>
          <rPr>
            <b/>
            <sz val="9"/>
            <color indexed="81"/>
            <rFont val="Tahoma"/>
            <family val="2"/>
          </rPr>
          <t>=IF($C205="","",IFERROR(CIQ($C205,"IQ_DAYS_SALES_OUT",D$203,vd),""))</t>
        </r>
      </text>
    </comment>
    <comment ref="E205" authorId="0" shapeId="0" xr:uid="{09524A04-CBC9-48D7-A1B1-63554BDD8AAE}">
      <text>
        <r>
          <rPr>
            <b/>
            <sz val="9"/>
            <color indexed="81"/>
            <rFont val="Tahoma"/>
            <family val="2"/>
          </rPr>
          <t>=IF($C205="","",IFERROR(CIQ($C205,"IQ_DAYS_SALES_OUT",E$203,vd),""))</t>
        </r>
      </text>
    </comment>
    <comment ref="F205" authorId="0" shapeId="0" xr:uid="{F3C2F4A6-7301-4A7A-9E1E-AB485FBD10C2}">
      <text>
        <r>
          <rPr>
            <b/>
            <sz val="9"/>
            <color indexed="81"/>
            <rFont val="Tahoma"/>
            <family val="2"/>
          </rPr>
          <t>=IF($C205="","",IFERROR(CIQ($C205,"IQ_DAYS_SALES_OUT",F$203,vd),""))</t>
        </r>
      </text>
    </comment>
    <comment ref="G205" authorId="0" shapeId="0" xr:uid="{76263752-F76E-4020-899A-FAD95EE62600}">
      <text>
        <r>
          <rPr>
            <b/>
            <sz val="9"/>
            <color indexed="81"/>
            <rFont val="Tahoma"/>
            <family val="2"/>
          </rPr>
          <t>=IF($C205="","",IFERROR(CIQ($C205,"IQ_DAYS_SALES_OUT",G$203,vd),""))</t>
        </r>
      </text>
    </comment>
    <comment ref="H205" authorId="0" shapeId="0" xr:uid="{9CDB7D48-5108-4D04-BE9E-12E25775EC4E}">
      <text>
        <r>
          <rPr>
            <b/>
            <sz val="9"/>
            <color indexed="81"/>
            <rFont val="Tahoma"/>
            <family val="2"/>
          </rPr>
          <t>=IF($C205="","",IFERROR(CIQ($C205,"IQ_DAYS_SALES_OUT",H$203,vd),""))</t>
        </r>
      </text>
    </comment>
    <comment ref="I205" authorId="0" shapeId="0" xr:uid="{593AF083-8A74-4CB8-8A88-571A6F5C8885}">
      <text>
        <r>
          <rPr>
            <b/>
            <sz val="9"/>
            <color indexed="81"/>
            <rFont val="Tahoma"/>
            <family val="2"/>
          </rPr>
          <t>=IF($C205="","",IFERROR(CIQ($C205,"IQ_DAYS_SALES_OUT",I$203,vd),""))</t>
        </r>
      </text>
    </comment>
    <comment ref="J205" authorId="0" shapeId="0" xr:uid="{EC721B4E-46F5-446F-9F1C-BE85DC444C8C}">
      <text>
        <r>
          <rPr>
            <b/>
            <sz val="9"/>
            <color indexed="81"/>
            <rFont val="Tahoma"/>
            <family val="2"/>
          </rPr>
          <t>=IF($C205="","",IFERROR(CIQ($C205,"IQ_DAYS_SALES_OUT",J$203,vd),""))</t>
        </r>
      </text>
    </comment>
    <comment ref="K205" authorId="0" shapeId="0" xr:uid="{E777AA49-4E49-4BE0-AB21-297D281223F4}">
      <text>
        <r>
          <rPr>
            <b/>
            <sz val="9"/>
            <color indexed="81"/>
            <rFont val="Tahoma"/>
            <family val="2"/>
          </rPr>
          <t>=IF($C205="","",IFERROR(CIQ($C205,"IQ_DAYS_SALES_OUT",K$203,vd),""))</t>
        </r>
      </text>
    </comment>
    <comment ref="L205" authorId="0" shapeId="0" xr:uid="{75D66485-5035-407C-899C-2F0F6E5021A7}">
      <text>
        <r>
          <rPr>
            <b/>
            <sz val="9"/>
            <color indexed="81"/>
            <rFont val="Tahoma"/>
            <family val="2"/>
          </rPr>
          <t>=IF($C205="","",IFERROR(CIQ($C205,"IQ_DAYS_SALES_OUT",L$203,vd),""))</t>
        </r>
      </text>
    </comment>
    <comment ref="M205" authorId="0" shapeId="0" xr:uid="{37C1B508-6418-446B-AAD0-6E6210EA89AE}">
      <text>
        <r>
          <rPr>
            <b/>
            <sz val="9"/>
            <color indexed="81"/>
            <rFont val="Tahoma"/>
            <family val="2"/>
          </rPr>
          <t>=IF($C205="","",IFERROR(CIQ($C205,"IQ_DAYS_SALES_OUT",M$203,vd),""))</t>
        </r>
      </text>
    </comment>
    <comment ref="N205" authorId="0" shapeId="0" xr:uid="{F9707FFB-5AF3-4534-BD66-887BBB0E5517}">
      <text>
        <r>
          <rPr>
            <b/>
            <sz val="9"/>
            <color indexed="81"/>
            <rFont val="Tahoma"/>
            <family val="2"/>
          </rPr>
          <t>=IF($C205="","",IFERROR(CIQ($C205,"IQ_DAYS_SALES_OUT",N$203,vd),""))</t>
        </r>
      </text>
    </comment>
    <comment ref="D206" authorId="0" shapeId="0" xr:uid="{C8BE8A14-2A4E-4AA1-9D95-7BDFDD0BACD3}">
      <text>
        <r>
          <rPr>
            <b/>
            <sz val="9"/>
            <color indexed="81"/>
            <rFont val="Tahoma"/>
            <family val="2"/>
          </rPr>
          <t>=IF($C206="","",IFERROR(CIQ($C206,"IQ_DAYS_SALES_OUT",D$203,vd),""))</t>
        </r>
      </text>
    </comment>
    <comment ref="E206" authorId="0" shapeId="0" xr:uid="{24DF6E6F-BCCC-42F7-AABD-F74EA0C1EB71}">
      <text>
        <r>
          <rPr>
            <b/>
            <sz val="9"/>
            <color indexed="81"/>
            <rFont val="Tahoma"/>
            <family val="2"/>
          </rPr>
          <t>=IF($C206="","",IFERROR(CIQ($C206,"IQ_DAYS_SALES_OUT",E$203,vd),""))</t>
        </r>
      </text>
    </comment>
    <comment ref="F206" authorId="0" shapeId="0" xr:uid="{107017D5-A8DD-4DD2-84D0-00796C299E78}">
      <text>
        <r>
          <rPr>
            <b/>
            <sz val="9"/>
            <color indexed="81"/>
            <rFont val="Tahoma"/>
            <family val="2"/>
          </rPr>
          <t>=IF($C206="","",IFERROR(CIQ($C206,"IQ_DAYS_SALES_OUT",F$203,vd),""))</t>
        </r>
      </text>
    </comment>
    <comment ref="G206" authorId="0" shapeId="0" xr:uid="{840397C6-7391-4AEE-8584-F63CCD36B1CA}">
      <text>
        <r>
          <rPr>
            <b/>
            <sz val="9"/>
            <color indexed="81"/>
            <rFont val="Tahoma"/>
            <family val="2"/>
          </rPr>
          <t>=IF($C206="","",IFERROR(CIQ($C206,"IQ_DAYS_SALES_OUT",G$203,vd),""))</t>
        </r>
      </text>
    </comment>
    <comment ref="H206" authorId="0" shapeId="0" xr:uid="{AE8DF5A0-768D-43A1-82E1-603C205E9845}">
      <text>
        <r>
          <rPr>
            <b/>
            <sz val="9"/>
            <color indexed="81"/>
            <rFont val="Tahoma"/>
            <family val="2"/>
          </rPr>
          <t>=IF($C206="","",IFERROR(CIQ($C206,"IQ_DAYS_SALES_OUT",H$203,vd),""))</t>
        </r>
      </text>
    </comment>
    <comment ref="I206" authorId="0" shapeId="0" xr:uid="{77E6FAB9-44D4-4F80-8517-863C433CED76}">
      <text>
        <r>
          <rPr>
            <b/>
            <sz val="9"/>
            <color indexed="81"/>
            <rFont val="Tahoma"/>
            <family val="2"/>
          </rPr>
          <t>=IF($C206="","",IFERROR(CIQ($C206,"IQ_DAYS_SALES_OUT",I$203,vd),""))</t>
        </r>
      </text>
    </comment>
    <comment ref="J206" authorId="0" shapeId="0" xr:uid="{80D6B43E-4916-4276-A7F3-B2C62E4A44FA}">
      <text>
        <r>
          <rPr>
            <b/>
            <sz val="9"/>
            <color indexed="81"/>
            <rFont val="Tahoma"/>
            <family val="2"/>
          </rPr>
          <t>=IF($C206="","",IFERROR(CIQ($C206,"IQ_DAYS_SALES_OUT",J$203,vd),""))</t>
        </r>
      </text>
    </comment>
    <comment ref="K206" authorId="0" shapeId="0" xr:uid="{F1E25FE1-87D5-4EE7-B12D-3D32DAECB085}">
      <text>
        <r>
          <rPr>
            <b/>
            <sz val="9"/>
            <color indexed="81"/>
            <rFont val="Tahoma"/>
            <family val="2"/>
          </rPr>
          <t>=IF($C206="","",IFERROR(CIQ($C206,"IQ_DAYS_SALES_OUT",K$203,vd),""))</t>
        </r>
      </text>
    </comment>
    <comment ref="L206" authorId="0" shapeId="0" xr:uid="{FF6B152A-8649-4CBD-9D99-7A230DE7DE9A}">
      <text>
        <r>
          <rPr>
            <b/>
            <sz val="9"/>
            <color indexed="81"/>
            <rFont val="Tahoma"/>
            <family val="2"/>
          </rPr>
          <t>=IF($C206="","",IFERROR(CIQ($C206,"IQ_DAYS_SALES_OUT",L$203,vd),""))</t>
        </r>
      </text>
    </comment>
    <comment ref="M206" authorId="0" shapeId="0" xr:uid="{D123235D-F3D9-4258-AEF3-6BB5962D0432}">
      <text>
        <r>
          <rPr>
            <b/>
            <sz val="9"/>
            <color indexed="81"/>
            <rFont val="Tahoma"/>
            <family val="2"/>
          </rPr>
          <t>=IF($C206="","",IFERROR(CIQ($C206,"IQ_DAYS_SALES_OUT",M$203,vd),""))</t>
        </r>
      </text>
    </comment>
    <comment ref="N206" authorId="0" shapeId="0" xr:uid="{F874F5AD-C782-4291-ABC9-7F63115FF734}">
      <text>
        <r>
          <rPr>
            <b/>
            <sz val="9"/>
            <color indexed="81"/>
            <rFont val="Tahoma"/>
            <family val="2"/>
          </rPr>
          <t>=IF($C206="","",IFERROR(CIQ($C206,"IQ_DAYS_SALES_OUT",N$203,vd),""))</t>
        </r>
      </text>
    </comment>
    <comment ref="D207" authorId="0" shapeId="0" xr:uid="{5EBC4A1D-1A3E-4740-A930-B8799FF1197D}">
      <text>
        <r>
          <rPr>
            <b/>
            <sz val="9"/>
            <color indexed="81"/>
            <rFont val="Tahoma"/>
            <family val="2"/>
          </rPr>
          <t>=IF($C207="","",IFERROR(CIQ($C207,"IQ_DAYS_SALES_OUT",D$203,vd),""))</t>
        </r>
      </text>
    </comment>
    <comment ref="E207" authorId="0" shapeId="0" xr:uid="{6AB2567B-955A-45CB-A38C-AD1C1741A2C4}">
      <text>
        <r>
          <rPr>
            <b/>
            <sz val="9"/>
            <color indexed="81"/>
            <rFont val="Tahoma"/>
            <family val="2"/>
          </rPr>
          <t>=IF($C207="","",IFERROR(CIQ($C207,"IQ_DAYS_SALES_OUT",E$203,vd),""))</t>
        </r>
      </text>
    </comment>
    <comment ref="F207" authorId="0" shapeId="0" xr:uid="{087C6C99-9A9B-41EF-AC90-2683CC218101}">
      <text>
        <r>
          <rPr>
            <b/>
            <sz val="9"/>
            <color indexed="81"/>
            <rFont val="Tahoma"/>
            <family val="2"/>
          </rPr>
          <t>=IF($C207="","",IFERROR(CIQ($C207,"IQ_DAYS_SALES_OUT",F$203,vd),""))</t>
        </r>
      </text>
    </comment>
    <comment ref="G207" authorId="0" shapeId="0" xr:uid="{534AE627-3C32-40B0-A3B2-1A65BA8D8D5D}">
      <text>
        <r>
          <rPr>
            <b/>
            <sz val="9"/>
            <color indexed="81"/>
            <rFont val="Tahoma"/>
            <family val="2"/>
          </rPr>
          <t>=IF($C207="","",IFERROR(CIQ($C207,"IQ_DAYS_SALES_OUT",G$203,vd),""))</t>
        </r>
      </text>
    </comment>
    <comment ref="H207" authorId="0" shapeId="0" xr:uid="{7B9096AC-8C41-4E1C-8937-F585EDF6F179}">
      <text>
        <r>
          <rPr>
            <b/>
            <sz val="9"/>
            <color indexed="81"/>
            <rFont val="Tahoma"/>
            <family val="2"/>
          </rPr>
          <t>=IF($C207="","",IFERROR(CIQ($C207,"IQ_DAYS_SALES_OUT",H$203,vd),""))</t>
        </r>
      </text>
    </comment>
    <comment ref="I207" authorId="0" shapeId="0" xr:uid="{4F179EB2-7011-481A-A127-8921C37C280B}">
      <text>
        <r>
          <rPr>
            <b/>
            <sz val="9"/>
            <color indexed="81"/>
            <rFont val="Tahoma"/>
            <family val="2"/>
          </rPr>
          <t>=IF($C207="","",IFERROR(CIQ($C207,"IQ_DAYS_SALES_OUT",I$203,vd),""))</t>
        </r>
      </text>
    </comment>
    <comment ref="J207" authorId="0" shapeId="0" xr:uid="{38019750-E9F3-4559-A5B0-E8B98758404A}">
      <text>
        <r>
          <rPr>
            <b/>
            <sz val="9"/>
            <color indexed="81"/>
            <rFont val="Tahoma"/>
            <family val="2"/>
          </rPr>
          <t>=IF($C207="","",IFERROR(CIQ($C207,"IQ_DAYS_SALES_OUT",J$203,vd),""))</t>
        </r>
      </text>
    </comment>
    <comment ref="K207" authorId="0" shapeId="0" xr:uid="{6A084B39-9C43-47FB-A751-643F54CFEA1C}">
      <text>
        <r>
          <rPr>
            <b/>
            <sz val="9"/>
            <color indexed="81"/>
            <rFont val="Tahoma"/>
            <family val="2"/>
          </rPr>
          <t>=IF($C207="","",IFERROR(CIQ($C207,"IQ_DAYS_SALES_OUT",K$203,vd),""))</t>
        </r>
      </text>
    </comment>
    <comment ref="L207" authorId="0" shapeId="0" xr:uid="{EF945B08-1DCD-473A-8190-193C00531BF4}">
      <text>
        <r>
          <rPr>
            <b/>
            <sz val="9"/>
            <color indexed="81"/>
            <rFont val="Tahoma"/>
            <family val="2"/>
          </rPr>
          <t>=IF($C207="","",IFERROR(CIQ($C207,"IQ_DAYS_SALES_OUT",L$203,vd),""))</t>
        </r>
      </text>
    </comment>
    <comment ref="M207" authorId="0" shapeId="0" xr:uid="{2293568A-5857-45BA-903F-0227BBE04B9B}">
      <text>
        <r>
          <rPr>
            <b/>
            <sz val="9"/>
            <color indexed="81"/>
            <rFont val="Tahoma"/>
            <family val="2"/>
          </rPr>
          <t>=IF($C207="","",IFERROR(CIQ($C207,"IQ_DAYS_SALES_OUT",M$203,vd),""))</t>
        </r>
      </text>
    </comment>
    <comment ref="N207" authorId="0" shapeId="0" xr:uid="{FA0074B8-EE43-4D43-AC03-6C9CFD842B4E}">
      <text>
        <r>
          <rPr>
            <b/>
            <sz val="9"/>
            <color indexed="81"/>
            <rFont val="Tahoma"/>
            <family val="2"/>
          </rPr>
          <t>=IF($C207="","",IFERROR(CIQ($C207,"IQ_DAYS_SALES_OUT",N$203,vd),""))</t>
        </r>
      </text>
    </comment>
    <comment ref="D208" authorId="0" shapeId="0" xr:uid="{A1AECC50-CF48-461E-BDFD-8DFA1B84873B}">
      <text>
        <r>
          <rPr>
            <b/>
            <sz val="9"/>
            <color indexed="81"/>
            <rFont val="Tahoma"/>
            <family val="2"/>
          </rPr>
          <t>=IF($C208="","",IFERROR(CIQ($C208,"IQ_DAYS_SALES_OUT",D$203,vd),""))</t>
        </r>
      </text>
    </comment>
    <comment ref="E208" authorId="0" shapeId="0" xr:uid="{5A96F827-45E1-4838-A377-363A72F35FC8}">
      <text>
        <r>
          <rPr>
            <b/>
            <sz val="9"/>
            <color indexed="81"/>
            <rFont val="Tahoma"/>
            <family val="2"/>
          </rPr>
          <t>=IF($C208="","",IFERROR(CIQ($C208,"IQ_DAYS_SALES_OUT",E$203,vd),""))</t>
        </r>
      </text>
    </comment>
    <comment ref="F208" authorId="0" shapeId="0" xr:uid="{88EE2AFD-5DFA-46BC-ACFE-8F07FC874E34}">
      <text>
        <r>
          <rPr>
            <b/>
            <sz val="9"/>
            <color indexed="81"/>
            <rFont val="Tahoma"/>
            <family val="2"/>
          </rPr>
          <t>=IF($C208="","",IFERROR(CIQ($C208,"IQ_DAYS_SALES_OUT",F$203,vd),""))</t>
        </r>
      </text>
    </comment>
    <comment ref="G208" authorId="0" shapeId="0" xr:uid="{10026B41-28FB-49D7-BBA9-0709CE817ABD}">
      <text>
        <r>
          <rPr>
            <b/>
            <sz val="9"/>
            <color indexed="81"/>
            <rFont val="Tahoma"/>
            <family val="2"/>
          </rPr>
          <t>=IF($C208="","",IFERROR(CIQ($C208,"IQ_DAYS_SALES_OUT",G$203,vd),""))</t>
        </r>
      </text>
    </comment>
    <comment ref="H208" authorId="0" shapeId="0" xr:uid="{A24807E8-0328-40C0-AFE1-EE73720D41FA}">
      <text>
        <r>
          <rPr>
            <b/>
            <sz val="9"/>
            <color indexed="81"/>
            <rFont val="Tahoma"/>
            <family val="2"/>
          </rPr>
          <t>=IF($C208="","",IFERROR(CIQ($C208,"IQ_DAYS_SALES_OUT",H$203,vd),""))</t>
        </r>
      </text>
    </comment>
    <comment ref="I208" authorId="0" shapeId="0" xr:uid="{9891110E-EB0F-43A1-873A-6538F0EEC3E6}">
      <text>
        <r>
          <rPr>
            <b/>
            <sz val="9"/>
            <color indexed="81"/>
            <rFont val="Tahoma"/>
            <family val="2"/>
          </rPr>
          <t>=IF($C208="","",IFERROR(CIQ($C208,"IQ_DAYS_SALES_OUT",I$203,vd),""))</t>
        </r>
      </text>
    </comment>
    <comment ref="J208" authorId="0" shapeId="0" xr:uid="{0BC082D7-C25E-42D5-A76A-65264333F8F4}">
      <text>
        <r>
          <rPr>
            <b/>
            <sz val="9"/>
            <color indexed="81"/>
            <rFont val="Tahoma"/>
            <family val="2"/>
          </rPr>
          <t>=IF($C208="","",IFERROR(CIQ($C208,"IQ_DAYS_SALES_OUT",J$203,vd),""))</t>
        </r>
      </text>
    </comment>
    <comment ref="K208" authorId="0" shapeId="0" xr:uid="{DB723AB5-73BA-486A-86BE-794DB4A2944E}">
      <text>
        <r>
          <rPr>
            <b/>
            <sz val="9"/>
            <color indexed="81"/>
            <rFont val="Tahoma"/>
            <family val="2"/>
          </rPr>
          <t>=IF($C208="","",IFERROR(CIQ($C208,"IQ_DAYS_SALES_OUT",K$203,vd),""))</t>
        </r>
      </text>
    </comment>
    <comment ref="L208" authorId="0" shapeId="0" xr:uid="{0FC5295D-E7E6-4E9E-9F25-77577E3E326C}">
      <text>
        <r>
          <rPr>
            <b/>
            <sz val="9"/>
            <color indexed="81"/>
            <rFont val="Tahoma"/>
            <family val="2"/>
          </rPr>
          <t>=IF($C208="","",IFERROR(CIQ($C208,"IQ_DAYS_SALES_OUT",L$203,vd),""))</t>
        </r>
      </text>
    </comment>
    <comment ref="M208" authorId="0" shapeId="0" xr:uid="{0A600692-044D-4350-8C20-CB7F9ED92FE4}">
      <text>
        <r>
          <rPr>
            <b/>
            <sz val="9"/>
            <color indexed="81"/>
            <rFont val="Tahoma"/>
            <family val="2"/>
          </rPr>
          <t>=IF($C208="","",IFERROR(CIQ($C208,"IQ_DAYS_SALES_OUT",M$203,vd),""))</t>
        </r>
      </text>
    </comment>
    <comment ref="N208" authorId="0" shapeId="0" xr:uid="{927F718D-26A0-445C-AC57-544F6A8CADD9}">
      <text>
        <r>
          <rPr>
            <b/>
            <sz val="9"/>
            <color indexed="81"/>
            <rFont val="Tahoma"/>
            <family val="2"/>
          </rPr>
          <t>=IF($C208="","",IFERROR(CIQ($C208,"IQ_DAYS_SALES_OUT",N$203,vd),""))</t>
        </r>
      </text>
    </comment>
    <comment ref="D209" authorId="0" shapeId="0" xr:uid="{40D9C7E6-ECEB-4E53-BCCA-492EFA8D6D7A}">
      <text>
        <r>
          <rPr>
            <b/>
            <sz val="9"/>
            <color indexed="81"/>
            <rFont val="Tahoma"/>
            <family val="2"/>
          </rPr>
          <t>=IF($C209="","",IFERROR(CIQ($C209,"IQ_DAYS_SALES_OUT",D$203,vd),""))</t>
        </r>
      </text>
    </comment>
    <comment ref="E209" authorId="0" shapeId="0" xr:uid="{4CF666E4-D5FE-4E0D-A5F1-1DC5C9C39138}">
      <text>
        <r>
          <rPr>
            <b/>
            <sz val="9"/>
            <color indexed="81"/>
            <rFont val="Tahoma"/>
            <family val="2"/>
          </rPr>
          <t>=IF($C209="","",IFERROR(CIQ($C209,"IQ_DAYS_SALES_OUT",E$203,vd),""))</t>
        </r>
      </text>
    </comment>
    <comment ref="F209" authorId="0" shapeId="0" xr:uid="{88706AD4-B6A4-4021-9FEE-A2671A4327D6}">
      <text>
        <r>
          <rPr>
            <b/>
            <sz val="9"/>
            <color indexed="81"/>
            <rFont val="Tahoma"/>
            <family val="2"/>
          </rPr>
          <t>=IF($C209="","",IFERROR(CIQ($C209,"IQ_DAYS_SALES_OUT",F$203,vd),""))</t>
        </r>
      </text>
    </comment>
    <comment ref="G209" authorId="0" shapeId="0" xr:uid="{333D29E0-1E11-4137-B6A8-9558B05AC606}">
      <text>
        <r>
          <rPr>
            <b/>
            <sz val="9"/>
            <color indexed="81"/>
            <rFont val="Tahoma"/>
            <family val="2"/>
          </rPr>
          <t>=IF($C209="","",IFERROR(CIQ($C209,"IQ_DAYS_SALES_OUT",G$203,vd),""))</t>
        </r>
      </text>
    </comment>
    <comment ref="H209" authorId="0" shapeId="0" xr:uid="{B528FEA5-D7DA-472F-9D85-1000C87E1937}">
      <text>
        <r>
          <rPr>
            <b/>
            <sz val="9"/>
            <color indexed="81"/>
            <rFont val="Tahoma"/>
            <family val="2"/>
          </rPr>
          <t>=IF($C209="","",IFERROR(CIQ($C209,"IQ_DAYS_SALES_OUT",H$203,vd),""))</t>
        </r>
      </text>
    </comment>
    <comment ref="I209" authorId="0" shapeId="0" xr:uid="{762B2A67-D276-4DD3-A232-1CDA1EE8E764}">
      <text>
        <r>
          <rPr>
            <b/>
            <sz val="9"/>
            <color indexed="81"/>
            <rFont val="Tahoma"/>
            <family val="2"/>
          </rPr>
          <t>=IF($C209="","",IFERROR(CIQ($C209,"IQ_DAYS_SALES_OUT",I$203,vd),""))</t>
        </r>
      </text>
    </comment>
    <comment ref="J209" authorId="0" shapeId="0" xr:uid="{E58B44CA-6C68-4009-A099-BE9BE5A54EEA}">
      <text>
        <r>
          <rPr>
            <b/>
            <sz val="9"/>
            <color indexed="81"/>
            <rFont val="Tahoma"/>
            <family val="2"/>
          </rPr>
          <t>=IF($C209="","",IFERROR(CIQ($C209,"IQ_DAYS_SALES_OUT",J$203,vd),""))</t>
        </r>
      </text>
    </comment>
    <comment ref="K209" authorId="0" shapeId="0" xr:uid="{C9A1DB80-FC81-4DA9-AF8D-74666E36B711}">
      <text>
        <r>
          <rPr>
            <b/>
            <sz val="9"/>
            <color indexed="81"/>
            <rFont val="Tahoma"/>
            <family val="2"/>
          </rPr>
          <t>=IF($C209="","",IFERROR(CIQ($C209,"IQ_DAYS_SALES_OUT",K$203,vd),""))</t>
        </r>
      </text>
    </comment>
    <comment ref="L209" authorId="0" shapeId="0" xr:uid="{410C511E-956C-45D3-BA5A-FED8F3901E77}">
      <text>
        <r>
          <rPr>
            <b/>
            <sz val="9"/>
            <color indexed="81"/>
            <rFont val="Tahoma"/>
            <family val="2"/>
          </rPr>
          <t>=IF($C209="","",IFERROR(CIQ($C209,"IQ_DAYS_SALES_OUT",L$203,vd),""))</t>
        </r>
      </text>
    </comment>
    <comment ref="M209" authorId="0" shapeId="0" xr:uid="{55060A54-04E7-40FD-B90C-41217395E387}">
      <text>
        <r>
          <rPr>
            <b/>
            <sz val="9"/>
            <color indexed="81"/>
            <rFont val="Tahoma"/>
            <family val="2"/>
          </rPr>
          <t>=IF($C209="","",IFERROR(CIQ($C209,"IQ_DAYS_SALES_OUT",M$203,vd),""))</t>
        </r>
      </text>
    </comment>
    <comment ref="N209" authorId="0" shapeId="0" xr:uid="{08863AAA-851B-46C0-B3D9-5AD68AD6D399}">
      <text>
        <r>
          <rPr>
            <b/>
            <sz val="9"/>
            <color indexed="81"/>
            <rFont val="Tahoma"/>
            <family val="2"/>
          </rPr>
          <t>=IF($C209="","",IFERROR(CIQ($C209,"IQ_DAYS_SALES_OUT",N$203,vd),""))</t>
        </r>
      </text>
    </comment>
    <comment ref="D210" authorId="0" shapeId="0" xr:uid="{A20E4B2C-3C33-4070-B41C-118FBE888450}">
      <text>
        <r>
          <rPr>
            <b/>
            <sz val="9"/>
            <color indexed="81"/>
            <rFont val="Tahoma"/>
            <family val="2"/>
          </rPr>
          <t>=IF($C210="","",IFERROR(CIQ($C210,"IQ_DAYS_SALES_OUT",D$203,vd),""))</t>
        </r>
      </text>
    </comment>
    <comment ref="E210" authorId="0" shapeId="0" xr:uid="{53A13943-98B5-4A17-AEDE-E316FC4342B7}">
      <text>
        <r>
          <rPr>
            <b/>
            <sz val="9"/>
            <color indexed="81"/>
            <rFont val="Tahoma"/>
            <family val="2"/>
          </rPr>
          <t>=IF($C210="","",IFERROR(CIQ($C210,"IQ_DAYS_SALES_OUT",E$203,vd),""))</t>
        </r>
      </text>
    </comment>
    <comment ref="F210" authorId="0" shapeId="0" xr:uid="{D7B9FF84-A03D-4208-8A23-24ACA0E449E1}">
      <text>
        <r>
          <rPr>
            <b/>
            <sz val="9"/>
            <color indexed="81"/>
            <rFont val="Tahoma"/>
            <family val="2"/>
          </rPr>
          <t>=IF($C210="","",IFERROR(CIQ($C210,"IQ_DAYS_SALES_OUT",F$203,vd),""))</t>
        </r>
      </text>
    </comment>
    <comment ref="G210" authorId="0" shapeId="0" xr:uid="{D84F8050-D68B-44CC-800B-0A29C0F0C2B4}">
      <text>
        <r>
          <rPr>
            <b/>
            <sz val="9"/>
            <color indexed="81"/>
            <rFont val="Tahoma"/>
            <family val="2"/>
          </rPr>
          <t>=IF($C210="","",IFERROR(CIQ($C210,"IQ_DAYS_SALES_OUT",G$203,vd),""))</t>
        </r>
      </text>
    </comment>
    <comment ref="H210" authorId="0" shapeId="0" xr:uid="{6DB05734-5637-4F44-B46F-590F765A1227}">
      <text>
        <r>
          <rPr>
            <b/>
            <sz val="9"/>
            <color indexed="81"/>
            <rFont val="Tahoma"/>
            <family val="2"/>
          </rPr>
          <t>=IF($C210="","",IFERROR(CIQ($C210,"IQ_DAYS_SALES_OUT",H$203,vd),""))</t>
        </r>
      </text>
    </comment>
    <comment ref="I210" authorId="0" shapeId="0" xr:uid="{C02B8A98-3455-4D97-9F41-703E7BEE8B46}">
      <text>
        <r>
          <rPr>
            <b/>
            <sz val="9"/>
            <color indexed="81"/>
            <rFont val="Tahoma"/>
            <family val="2"/>
          </rPr>
          <t>=IF($C210="","",IFERROR(CIQ($C210,"IQ_DAYS_SALES_OUT",I$203,vd),""))</t>
        </r>
      </text>
    </comment>
    <comment ref="J210" authorId="0" shapeId="0" xr:uid="{0FC1661D-D1D3-4013-A0AD-D5A4761C6653}">
      <text>
        <r>
          <rPr>
            <b/>
            <sz val="9"/>
            <color indexed="81"/>
            <rFont val="Tahoma"/>
            <family val="2"/>
          </rPr>
          <t>=IF($C210="","",IFERROR(CIQ($C210,"IQ_DAYS_SALES_OUT",J$203,vd),""))</t>
        </r>
      </text>
    </comment>
    <comment ref="K210" authorId="0" shapeId="0" xr:uid="{4228A109-E95C-479A-A928-CD213002953E}">
      <text>
        <r>
          <rPr>
            <b/>
            <sz val="9"/>
            <color indexed="81"/>
            <rFont val="Tahoma"/>
            <family val="2"/>
          </rPr>
          <t>=IF($C210="","",IFERROR(CIQ($C210,"IQ_DAYS_SALES_OUT",K$203,vd),""))</t>
        </r>
      </text>
    </comment>
    <comment ref="L210" authorId="0" shapeId="0" xr:uid="{185366A9-B858-440E-B5CB-EEEEEBE3AA59}">
      <text>
        <r>
          <rPr>
            <b/>
            <sz val="9"/>
            <color indexed="81"/>
            <rFont val="Tahoma"/>
            <family val="2"/>
          </rPr>
          <t>=IF($C210="","",IFERROR(CIQ($C210,"IQ_DAYS_SALES_OUT",L$203,vd),""))</t>
        </r>
      </text>
    </comment>
    <comment ref="M210" authorId="0" shapeId="0" xr:uid="{17C69CBB-0A98-4254-BDB7-022B29B15E13}">
      <text>
        <r>
          <rPr>
            <b/>
            <sz val="9"/>
            <color indexed="81"/>
            <rFont val="Tahoma"/>
            <family val="2"/>
          </rPr>
          <t>=IF($C210="","",IFERROR(CIQ($C210,"IQ_DAYS_SALES_OUT",M$203,vd),""))</t>
        </r>
      </text>
    </comment>
    <comment ref="N210" authorId="0" shapeId="0" xr:uid="{ECB1FD7C-6233-484E-B994-D5A237B0D4AF}">
      <text>
        <r>
          <rPr>
            <b/>
            <sz val="9"/>
            <color indexed="81"/>
            <rFont val="Tahoma"/>
            <family val="2"/>
          </rPr>
          <t>=IF($C210="","",IFERROR(CIQ($C210,"IQ_DAYS_SALES_OUT",N$203,vd),""))</t>
        </r>
      </text>
    </comment>
    <comment ref="D211" authorId="0" shapeId="0" xr:uid="{8AC4C815-FAD3-4049-88D8-7731E7E60E8D}">
      <text>
        <r>
          <rPr>
            <b/>
            <sz val="9"/>
            <color indexed="81"/>
            <rFont val="Tahoma"/>
            <family val="2"/>
          </rPr>
          <t>=IF($C211="","",IFERROR(CIQ($C211,"IQ_DAYS_SALES_OUT",D$203,vd),""))</t>
        </r>
      </text>
    </comment>
    <comment ref="E211" authorId="0" shapeId="0" xr:uid="{D3DD3393-5123-4782-B537-9253D2B3B301}">
      <text>
        <r>
          <rPr>
            <b/>
            <sz val="9"/>
            <color indexed="81"/>
            <rFont val="Tahoma"/>
            <family val="2"/>
          </rPr>
          <t>=IF($C211="","",IFERROR(CIQ($C211,"IQ_DAYS_SALES_OUT",E$203,vd),""))</t>
        </r>
      </text>
    </comment>
    <comment ref="F211" authorId="0" shapeId="0" xr:uid="{E281C626-DD07-4A22-95F5-2782BAED8C98}">
      <text>
        <r>
          <rPr>
            <b/>
            <sz val="9"/>
            <color indexed="81"/>
            <rFont val="Tahoma"/>
            <family val="2"/>
          </rPr>
          <t>=IF($C211="","",IFERROR(CIQ($C211,"IQ_DAYS_SALES_OUT",F$203,vd),""))</t>
        </r>
      </text>
    </comment>
    <comment ref="G211" authorId="0" shapeId="0" xr:uid="{E55724DB-EFD7-4F9C-9F84-EB1F858F6D14}">
      <text>
        <r>
          <rPr>
            <b/>
            <sz val="9"/>
            <color indexed="81"/>
            <rFont val="Tahoma"/>
            <family val="2"/>
          </rPr>
          <t>=IF($C211="","",IFERROR(CIQ($C211,"IQ_DAYS_SALES_OUT",G$203,vd),""))</t>
        </r>
      </text>
    </comment>
    <comment ref="H211" authorId="0" shapeId="0" xr:uid="{200D4F5B-4314-4034-913F-CF633DCCFBBD}">
      <text>
        <r>
          <rPr>
            <b/>
            <sz val="9"/>
            <color indexed="81"/>
            <rFont val="Tahoma"/>
            <family val="2"/>
          </rPr>
          <t>=IF($C211="","",IFERROR(CIQ($C211,"IQ_DAYS_SALES_OUT",H$203,vd),""))</t>
        </r>
      </text>
    </comment>
    <comment ref="I211" authorId="0" shapeId="0" xr:uid="{91AB90FB-C812-4BFF-A1C4-2105FE89BA7A}">
      <text>
        <r>
          <rPr>
            <b/>
            <sz val="9"/>
            <color indexed="81"/>
            <rFont val="Tahoma"/>
            <family val="2"/>
          </rPr>
          <t>=IF($C211="","",IFERROR(CIQ($C211,"IQ_DAYS_SALES_OUT",I$203,vd),""))</t>
        </r>
      </text>
    </comment>
    <comment ref="J211" authorId="0" shapeId="0" xr:uid="{D9EBE46C-F7E3-4C39-A68C-12B74E21E176}">
      <text>
        <r>
          <rPr>
            <b/>
            <sz val="9"/>
            <color indexed="81"/>
            <rFont val="Tahoma"/>
            <family val="2"/>
          </rPr>
          <t>=IF($C211="","",IFERROR(CIQ($C211,"IQ_DAYS_SALES_OUT",J$203,vd),""))</t>
        </r>
      </text>
    </comment>
    <comment ref="K211" authorId="0" shapeId="0" xr:uid="{003EDDE0-0C22-44A5-8B7B-F108B51CCC82}">
      <text>
        <r>
          <rPr>
            <b/>
            <sz val="9"/>
            <color indexed="81"/>
            <rFont val="Tahoma"/>
            <family val="2"/>
          </rPr>
          <t>=IF($C211="","",IFERROR(CIQ($C211,"IQ_DAYS_SALES_OUT",K$203,vd),""))</t>
        </r>
      </text>
    </comment>
    <comment ref="L211" authorId="0" shapeId="0" xr:uid="{F71EF1A9-695D-4816-B1E1-6B27A3E769B5}">
      <text>
        <r>
          <rPr>
            <b/>
            <sz val="9"/>
            <color indexed="81"/>
            <rFont val="Tahoma"/>
            <family val="2"/>
          </rPr>
          <t>=IF($C211="","",IFERROR(CIQ($C211,"IQ_DAYS_SALES_OUT",L$203,vd),""))</t>
        </r>
      </text>
    </comment>
    <comment ref="M211" authorId="0" shapeId="0" xr:uid="{58956EC1-E732-41EB-98C5-5E783FAB6AC9}">
      <text>
        <r>
          <rPr>
            <b/>
            <sz val="9"/>
            <color indexed="81"/>
            <rFont val="Tahoma"/>
            <family val="2"/>
          </rPr>
          <t>=IF($C211="","",IFERROR(CIQ($C211,"IQ_DAYS_SALES_OUT",M$203,vd),""))</t>
        </r>
      </text>
    </comment>
    <comment ref="N211" authorId="0" shapeId="0" xr:uid="{504713DD-566B-4155-B941-935F92253BFA}">
      <text>
        <r>
          <rPr>
            <b/>
            <sz val="9"/>
            <color indexed="81"/>
            <rFont val="Tahoma"/>
            <family val="2"/>
          </rPr>
          <t>=IF($C211="","",IFERROR(CIQ($C211,"IQ_DAYS_SALES_OUT",N$203,vd),""))</t>
        </r>
      </text>
    </comment>
    <comment ref="D212" authorId="0" shapeId="0" xr:uid="{84367E8F-82E7-4CE7-9A2B-E07A9FCBB4B7}">
      <text>
        <r>
          <rPr>
            <b/>
            <sz val="9"/>
            <color indexed="81"/>
            <rFont val="Tahoma"/>
            <family val="2"/>
          </rPr>
          <t>=IF($C212="","",IFERROR(CIQ($C212,"IQ_DAYS_SALES_OUT",D$203,vd),""))</t>
        </r>
      </text>
    </comment>
    <comment ref="E212" authorId="0" shapeId="0" xr:uid="{236AF7E6-9E4A-4C48-80D2-65A4B055B272}">
      <text>
        <r>
          <rPr>
            <b/>
            <sz val="9"/>
            <color indexed="81"/>
            <rFont val="Tahoma"/>
            <family val="2"/>
          </rPr>
          <t>=IF($C212="","",IFERROR(CIQ($C212,"IQ_DAYS_SALES_OUT",E$203,vd),""))</t>
        </r>
      </text>
    </comment>
    <comment ref="F212" authorId="0" shapeId="0" xr:uid="{E3D22E3E-433C-4C7C-98F5-C0B614F2FAD6}">
      <text>
        <r>
          <rPr>
            <b/>
            <sz val="9"/>
            <color indexed="81"/>
            <rFont val="Tahoma"/>
            <family val="2"/>
          </rPr>
          <t>=IF($C212="","",IFERROR(CIQ($C212,"IQ_DAYS_SALES_OUT",F$203,vd),""))</t>
        </r>
      </text>
    </comment>
    <comment ref="G212" authorId="0" shapeId="0" xr:uid="{695FD040-CC5B-4CAA-9685-259D35FDE8DD}">
      <text>
        <r>
          <rPr>
            <b/>
            <sz val="9"/>
            <color indexed="81"/>
            <rFont val="Tahoma"/>
            <family val="2"/>
          </rPr>
          <t>=IF($C212="","",IFERROR(CIQ($C212,"IQ_DAYS_SALES_OUT",G$203,vd),""))</t>
        </r>
      </text>
    </comment>
    <comment ref="H212" authorId="0" shapeId="0" xr:uid="{989087D5-C6BD-47E5-AB06-545393206ED4}">
      <text>
        <r>
          <rPr>
            <b/>
            <sz val="9"/>
            <color indexed="81"/>
            <rFont val="Tahoma"/>
            <family val="2"/>
          </rPr>
          <t>=IF($C212="","",IFERROR(CIQ($C212,"IQ_DAYS_SALES_OUT",H$203,vd),""))</t>
        </r>
      </text>
    </comment>
    <comment ref="I212" authorId="0" shapeId="0" xr:uid="{9330DC5D-CB37-4E7A-AD24-9C592D652FF2}">
      <text>
        <r>
          <rPr>
            <b/>
            <sz val="9"/>
            <color indexed="81"/>
            <rFont val="Tahoma"/>
            <family val="2"/>
          </rPr>
          <t>=IF($C212="","",IFERROR(CIQ($C212,"IQ_DAYS_SALES_OUT",I$203,vd),""))</t>
        </r>
      </text>
    </comment>
    <comment ref="J212" authorId="0" shapeId="0" xr:uid="{9FC2A7F0-4374-4BA7-A30B-6EA33AF37C75}">
      <text>
        <r>
          <rPr>
            <b/>
            <sz val="9"/>
            <color indexed="81"/>
            <rFont val="Tahoma"/>
            <family val="2"/>
          </rPr>
          <t>=IF($C212="","",IFERROR(CIQ($C212,"IQ_DAYS_SALES_OUT",J$203,vd),""))</t>
        </r>
      </text>
    </comment>
    <comment ref="K212" authorId="0" shapeId="0" xr:uid="{D17A07FC-90D3-4DAC-96CD-5CCB52BC9631}">
      <text>
        <r>
          <rPr>
            <b/>
            <sz val="9"/>
            <color indexed="81"/>
            <rFont val="Tahoma"/>
            <family val="2"/>
          </rPr>
          <t>=IF($C212="","",IFERROR(CIQ($C212,"IQ_DAYS_SALES_OUT",K$203,vd),""))</t>
        </r>
      </text>
    </comment>
    <comment ref="L212" authorId="0" shapeId="0" xr:uid="{D77F723E-6314-4549-B73D-0F57F377AA52}">
      <text>
        <r>
          <rPr>
            <b/>
            <sz val="9"/>
            <color indexed="81"/>
            <rFont val="Tahoma"/>
            <family val="2"/>
          </rPr>
          <t>=IF($C212="","",IFERROR(CIQ($C212,"IQ_DAYS_SALES_OUT",L$203,vd),""))</t>
        </r>
      </text>
    </comment>
    <comment ref="M212" authorId="0" shapeId="0" xr:uid="{395BEF17-C45E-4937-8E35-B25D4DA0D125}">
      <text>
        <r>
          <rPr>
            <b/>
            <sz val="9"/>
            <color indexed="81"/>
            <rFont val="Tahoma"/>
            <family val="2"/>
          </rPr>
          <t>=IF($C212="","",IFERROR(CIQ($C212,"IQ_DAYS_SALES_OUT",M$203,vd),""))</t>
        </r>
      </text>
    </comment>
    <comment ref="N212" authorId="0" shapeId="0" xr:uid="{F06930CC-688B-4897-8F4E-2F5C8FB4A76A}">
      <text>
        <r>
          <rPr>
            <b/>
            <sz val="9"/>
            <color indexed="81"/>
            <rFont val="Tahoma"/>
            <family val="2"/>
          </rPr>
          <t>=IF($C212="","",IFERROR(CIQ($C212,"IQ_DAYS_SALES_OUT",N$203,vd),""))</t>
        </r>
      </text>
    </comment>
    <comment ref="D213" authorId="0" shapeId="0" xr:uid="{4C107A22-0707-4913-9625-3265FAE6F268}">
      <text>
        <r>
          <rPr>
            <b/>
            <sz val="9"/>
            <color indexed="81"/>
            <rFont val="Tahoma"/>
            <family val="2"/>
          </rPr>
          <t>=IF($C213="","",IFERROR(CIQ($C213,"IQ_DAYS_SALES_OUT",D$203,vd),""))</t>
        </r>
      </text>
    </comment>
    <comment ref="E213" authorId="0" shapeId="0" xr:uid="{C211FA44-EA5A-4DFD-BEA8-FA534EEF3A34}">
      <text>
        <r>
          <rPr>
            <b/>
            <sz val="9"/>
            <color indexed="81"/>
            <rFont val="Tahoma"/>
            <family val="2"/>
          </rPr>
          <t>=IF($C213="","",IFERROR(CIQ($C213,"IQ_DAYS_SALES_OUT",E$203,vd),""))</t>
        </r>
      </text>
    </comment>
    <comment ref="F213" authorId="0" shapeId="0" xr:uid="{0F11A7E8-1911-4F02-8ACC-E9C07545E95D}">
      <text>
        <r>
          <rPr>
            <b/>
            <sz val="9"/>
            <color indexed="81"/>
            <rFont val="Tahoma"/>
            <family val="2"/>
          </rPr>
          <t>=IF($C213="","",IFERROR(CIQ($C213,"IQ_DAYS_SALES_OUT",F$203,vd),""))</t>
        </r>
      </text>
    </comment>
    <comment ref="G213" authorId="0" shapeId="0" xr:uid="{6DCF06F2-665D-4C32-849E-E3E90EBBEA72}">
      <text>
        <r>
          <rPr>
            <b/>
            <sz val="9"/>
            <color indexed="81"/>
            <rFont val="Tahoma"/>
            <family val="2"/>
          </rPr>
          <t>=IF($C213="","",IFERROR(CIQ($C213,"IQ_DAYS_SALES_OUT",G$203,vd),""))</t>
        </r>
      </text>
    </comment>
    <comment ref="H213" authorId="0" shapeId="0" xr:uid="{73239C53-8FB9-49B5-B14B-CBEACA1DFE5C}">
      <text>
        <r>
          <rPr>
            <b/>
            <sz val="9"/>
            <color indexed="81"/>
            <rFont val="Tahoma"/>
            <family val="2"/>
          </rPr>
          <t>=IF($C213="","",IFERROR(CIQ($C213,"IQ_DAYS_SALES_OUT",H$203,vd),""))</t>
        </r>
      </text>
    </comment>
    <comment ref="I213" authorId="0" shapeId="0" xr:uid="{4506C9C5-C70C-436E-BE0E-EABF64A67FE0}">
      <text>
        <r>
          <rPr>
            <b/>
            <sz val="9"/>
            <color indexed="81"/>
            <rFont val="Tahoma"/>
            <family val="2"/>
          </rPr>
          <t>=IF($C213="","",IFERROR(CIQ($C213,"IQ_DAYS_SALES_OUT",I$203,vd),""))</t>
        </r>
      </text>
    </comment>
    <comment ref="J213" authorId="0" shapeId="0" xr:uid="{EF8892BE-A732-440A-BD8B-2065F815756E}">
      <text>
        <r>
          <rPr>
            <b/>
            <sz val="9"/>
            <color indexed="81"/>
            <rFont val="Tahoma"/>
            <family val="2"/>
          </rPr>
          <t>=IF($C213="","",IFERROR(CIQ($C213,"IQ_DAYS_SALES_OUT",J$203,vd),""))</t>
        </r>
      </text>
    </comment>
    <comment ref="K213" authorId="0" shapeId="0" xr:uid="{F948583A-AEDC-469A-8891-F9C02D8DC3BE}">
      <text>
        <r>
          <rPr>
            <b/>
            <sz val="9"/>
            <color indexed="81"/>
            <rFont val="Tahoma"/>
            <family val="2"/>
          </rPr>
          <t>=IF($C213="","",IFERROR(CIQ($C213,"IQ_DAYS_SALES_OUT",K$203,vd),""))</t>
        </r>
      </text>
    </comment>
    <comment ref="L213" authorId="0" shapeId="0" xr:uid="{806A6BD7-EF21-4751-AC05-D10719CD7D87}">
      <text>
        <r>
          <rPr>
            <b/>
            <sz val="9"/>
            <color indexed="81"/>
            <rFont val="Tahoma"/>
            <family val="2"/>
          </rPr>
          <t>=IF($C213="","",IFERROR(CIQ($C213,"IQ_DAYS_SALES_OUT",L$203,vd),""))</t>
        </r>
      </text>
    </comment>
    <comment ref="M213" authorId="0" shapeId="0" xr:uid="{DED21E8B-D11B-40CD-A130-D58B0EE901A8}">
      <text>
        <r>
          <rPr>
            <b/>
            <sz val="9"/>
            <color indexed="81"/>
            <rFont val="Tahoma"/>
            <family val="2"/>
          </rPr>
          <t>=IF($C213="","",IFERROR(CIQ($C213,"IQ_DAYS_SALES_OUT",M$203,vd),""))</t>
        </r>
      </text>
    </comment>
    <comment ref="N213" authorId="0" shapeId="0" xr:uid="{5F86B121-6279-4362-AB4F-02B773D2A12F}">
      <text>
        <r>
          <rPr>
            <b/>
            <sz val="9"/>
            <color indexed="81"/>
            <rFont val="Tahoma"/>
            <family val="2"/>
          </rPr>
          <t>=IF($C213="","",IFERROR(CIQ($C213,"IQ_DAYS_SALES_OUT",N$203,vd),""))</t>
        </r>
      </text>
    </comment>
    <comment ref="D214" authorId="0" shapeId="0" xr:uid="{7C8CF465-6FCB-4E03-9F3B-A46AE50EBD27}">
      <text>
        <r>
          <rPr>
            <b/>
            <sz val="9"/>
            <color indexed="81"/>
            <rFont val="Tahoma"/>
            <family val="2"/>
          </rPr>
          <t>=IF($C214="","",IFERROR(CIQ($C214,"IQ_DAYS_SALES_OUT",D$203,vd),""))</t>
        </r>
      </text>
    </comment>
    <comment ref="E214" authorId="0" shapeId="0" xr:uid="{71AD04E4-B604-4E26-994A-9C01ED6E6794}">
      <text>
        <r>
          <rPr>
            <b/>
            <sz val="9"/>
            <color indexed="81"/>
            <rFont val="Tahoma"/>
            <family val="2"/>
          </rPr>
          <t>=IF($C214="","",IFERROR(CIQ($C214,"IQ_DAYS_SALES_OUT",E$203,vd),""))</t>
        </r>
      </text>
    </comment>
    <comment ref="F214" authorId="0" shapeId="0" xr:uid="{7D2C57F3-5E85-4AE3-A083-452180DDA004}">
      <text>
        <r>
          <rPr>
            <b/>
            <sz val="9"/>
            <color indexed="81"/>
            <rFont val="Tahoma"/>
            <family val="2"/>
          </rPr>
          <t>=IF($C214="","",IFERROR(CIQ($C214,"IQ_DAYS_SALES_OUT",F$203,vd),""))</t>
        </r>
      </text>
    </comment>
    <comment ref="G214" authorId="0" shapeId="0" xr:uid="{5887C06D-60BF-455D-8B52-808B3FF7E2AF}">
      <text>
        <r>
          <rPr>
            <b/>
            <sz val="9"/>
            <color indexed="81"/>
            <rFont val="Tahoma"/>
            <family val="2"/>
          </rPr>
          <t>=IF($C214="","",IFERROR(CIQ($C214,"IQ_DAYS_SALES_OUT",G$203,vd),""))</t>
        </r>
      </text>
    </comment>
    <comment ref="H214" authorId="0" shapeId="0" xr:uid="{982CDCC5-FDA0-45A6-9AF6-2EE111DAC14E}">
      <text>
        <r>
          <rPr>
            <b/>
            <sz val="9"/>
            <color indexed="81"/>
            <rFont val="Tahoma"/>
            <family val="2"/>
          </rPr>
          <t>=IF($C214="","",IFERROR(CIQ($C214,"IQ_DAYS_SALES_OUT",H$203,vd),""))</t>
        </r>
      </text>
    </comment>
    <comment ref="I214" authorId="0" shapeId="0" xr:uid="{0BADD6DD-29FF-477E-B4DD-9D708CEBBCF1}">
      <text>
        <r>
          <rPr>
            <b/>
            <sz val="9"/>
            <color indexed="81"/>
            <rFont val="Tahoma"/>
            <family val="2"/>
          </rPr>
          <t>=IF($C214="","",IFERROR(CIQ($C214,"IQ_DAYS_SALES_OUT",I$203,vd),""))</t>
        </r>
      </text>
    </comment>
    <comment ref="J214" authorId="0" shapeId="0" xr:uid="{38A2B8C6-4CCF-4396-9197-8DE3E7C9F7DE}">
      <text>
        <r>
          <rPr>
            <b/>
            <sz val="9"/>
            <color indexed="81"/>
            <rFont val="Tahoma"/>
            <family val="2"/>
          </rPr>
          <t>=IF($C214="","",IFERROR(CIQ($C214,"IQ_DAYS_SALES_OUT",J$203,vd),""))</t>
        </r>
      </text>
    </comment>
    <comment ref="K214" authorId="0" shapeId="0" xr:uid="{55D5775D-7FB7-4FC0-9ACC-BBB200AE7761}">
      <text>
        <r>
          <rPr>
            <b/>
            <sz val="9"/>
            <color indexed="81"/>
            <rFont val="Tahoma"/>
            <family val="2"/>
          </rPr>
          <t>=IF($C214="","",IFERROR(CIQ($C214,"IQ_DAYS_SALES_OUT",K$203,vd),""))</t>
        </r>
      </text>
    </comment>
    <comment ref="L214" authorId="0" shapeId="0" xr:uid="{14B2175C-6721-465F-893E-0888F0DE6BEA}">
      <text>
        <r>
          <rPr>
            <b/>
            <sz val="9"/>
            <color indexed="81"/>
            <rFont val="Tahoma"/>
            <family val="2"/>
          </rPr>
          <t>=IF($C214="","",IFERROR(CIQ($C214,"IQ_DAYS_SALES_OUT",L$203,vd),""))</t>
        </r>
      </text>
    </comment>
    <comment ref="M214" authorId="0" shapeId="0" xr:uid="{ED4E847C-231F-4FC6-907B-EB9639E67BD9}">
      <text>
        <r>
          <rPr>
            <b/>
            <sz val="9"/>
            <color indexed="81"/>
            <rFont val="Tahoma"/>
            <family val="2"/>
          </rPr>
          <t>=IF($C214="","",IFERROR(CIQ($C214,"IQ_DAYS_SALES_OUT",M$203,vd),""))</t>
        </r>
      </text>
    </comment>
    <comment ref="N214" authorId="0" shapeId="0" xr:uid="{23DF03B9-1EC3-4682-9DC2-4EEEF6285C0D}">
      <text>
        <r>
          <rPr>
            <b/>
            <sz val="9"/>
            <color indexed="81"/>
            <rFont val="Tahoma"/>
            <family val="2"/>
          </rPr>
          <t>=IF($C214="","",IFERROR(CIQ($C214,"IQ_DAYS_SALES_OUT",N$203,vd),""))</t>
        </r>
      </text>
    </comment>
    <comment ref="D215" authorId="0" shapeId="0" xr:uid="{FEE09112-A877-41D3-8EFA-94F6883549ED}">
      <text>
        <r>
          <rPr>
            <b/>
            <sz val="9"/>
            <color indexed="81"/>
            <rFont val="Tahoma"/>
            <family val="2"/>
          </rPr>
          <t>=IF($C215="","",IFERROR(CIQ($C215,"IQ_DAYS_SALES_OUT",D$203,vd),""))</t>
        </r>
      </text>
    </comment>
    <comment ref="E215" authorId="0" shapeId="0" xr:uid="{F9F80227-E326-41BC-AFC0-2063E8B89F2B}">
      <text>
        <r>
          <rPr>
            <b/>
            <sz val="9"/>
            <color indexed="81"/>
            <rFont val="Tahoma"/>
            <family val="2"/>
          </rPr>
          <t>=IF($C215="","",IFERROR(CIQ($C215,"IQ_DAYS_SALES_OUT",E$203,vd),""))</t>
        </r>
      </text>
    </comment>
    <comment ref="F215" authorId="0" shapeId="0" xr:uid="{7904AEF5-A468-4C4B-BA9E-779CD5499019}">
      <text>
        <r>
          <rPr>
            <b/>
            <sz val="9"/>
            <color indexed="81"/>
            <rFont val="Tahoma"/>
            <family val="2"/>
          </rPr>
          <t>=IF($C215="","",IFERROR(CIQ($C215,"IQ_DAYS_SALES_OUT",F$203,vd),""))</t>
        </r>
      </text>
    </comment>
    <comment ref="G215" authorId="0" shapeId="0" xr:uid="{33909F14-6C1B-4D0E-B0E8-D49741F36A75}">
      <text>
        <r>
          <rPr>
            <b/>
            <sz val="9"/>
            <color indexed="81"/>
            <rFont val="Tahoma"/>
            <family val="2"/>
          </rPr>
          <t>=IF($C215="","",IFERROR(CIQ($C215,"IQ_DAYS_SALES_OUT",G$203,vd),""))</t>
        </r>
      </text>
    </comment>
    <comment ref="H215" authorId="0" shapeId="0" xr:uid="{199907F8-F220-4933-BFA6-27FE01DF359C}">
      <text>
        <r>
          <rPr>
            <b/>
            <sz val="9"/>
            <color indexed="81"/>
            <rFont val="Tahoma"/>
            <family val="2"/>
          </rPr>
          <t>=IF($C215="","",IFERROR(CIQ($C215,"IQ_DAYS_SALES_OUT",H$203,vd),""))</t>
        </r>
      </text>
    </comment>
    <comment ref="I215" authorId="0" shapeId="0" xr:uid="{52CC6AE9-8746-48B7-AACB-CEE63A7CC71F}">
      <text>
        <r>
          <rPr>
            <b/>
            <sz val="9"/>
            <color indexed="81"/>
            <rFont val="Tahoma"/>
            <family val="2"/>
          </rPr>
          <t>=IF($C215="","",IFERROR(CIQ($C215,"IQ_DAYS_SALES_OUT",I$203,vd),""))</t>
        </r>
      </text>
    </comment>
    <comment ref="J215" authorId="0" shapeId="0" xr:uid="{592502FE-6CFE-41CC-83CD-A00042B35E66}">
      <text>
        <r>
          <rPr>
            <b/>
            <sz val="9"/>
            <color indexed="81"/>
            <rFont val="Tahoma"/>
            <family val="2"/>
          </rPr>
          <t>=IF($C215="","",IFERROR(CIQ($C215,"IQ_DAYS_SALES_OUT",J$203,vd),""))</t>
        </r>
      </text>
    </comment>
    <comment ref="K215" authorId="0" shapeId="0" xr:uid="{47A6EC28-FBA8-4FA6-87AA-5ECD2875D207}">
      <text>
        <r>
          <rPr>
            <b/>
            <sz val="9"/>
            <color indexed="81"/>
            <rFont val="Tahoma"/>
            <family val="2"/>
          </rPr>
          <t>=IF($C215="","",IFERROR(CIQ($C215,"IQ_DAYS_SALES_OUT",K$203,vd),""))</t>
        </r>
      </text>
    </comment>
    <comment ref="L215" authorId="0" shapeId="0" xr:uid="{162A1527-09BB-445A-A6E6-416250C4BDCE}">
      <text>
        <r>
          <rPr>
            <b/>
            <sz val="9"/>
            <color indexed="81"/>
            <rFont val="Tahoma"/>
            <family val="2"/>
          </rPr>
          <t>=IF($C215="","",IFERROR(CIQ($C215,"IQ_DAYS_SALES_OUT",L$203,vd),""))</t>
        </r>
      </text>
    </comment>
    <comment ref="M215" authorId="0" shapeId="0" xr:uid="{3C0FC1CE-7751-425F-BD9C-8E83FF02C376}">
      <text>
        <r>
          <rPr>
            <b/>
            <sz val="9"/>
            <color indexed="81"/>
            <rFont val="Tahoma"/>
            <family val="2"/>
          </rPr>
          <t>=IF($C215="","",IFERROR(CIQ($C215,"IQ_DAYS_SALES_OUT",M$203,vd),""))</t>
        </r>
      </text>
    </comment>
    <comment ref="N215" authorId="0" shapeId="0" xr:uid="{4729AE26-A715-423D-BC48-9083E029D3B8}">
      <text>
        <r>
          <rPr>
            <b/>
            <sz val="9"/>
            <color indexed="81"/>
            <rFont val="Tahoma"/>
            <family val="2"/>
          </rPr>
          <t>=IF($C215="","",IFERROR(CIQ($C215,"IQ_DAYS_SALES_OUT",N$203,vd),""))</t>
        </r>
      </text>
    </comment>
    <comment ref="D216" authorId="0" shapeId="0" xr:uid="{E52C8A48-E08A-48C2-844C-0F1D9FF06CEB}">
      <text>
        <r>
          <rPr>
            <b/>
            <sz val="9"/>
            <color indexed="81"/>
            <rFont val="Tahoma"/>
            <family val="2"/>
          </rPr>
          <t>=IF($C216="","",IFERROR(CIQ($C216,"IQ_DAYS_SALES_OUT",D$203,vd),""))</t>
        </r>
      </text>
    </comment>
    <comment ref="E216" authorId="0" shapeId="0" xr:uid="{0CCF8B32-D94E-450F-8E51-22FC2179880E}">
      <text>
        <r>
          <rPr>
            <b/>
            <sz val="9"/>
            <color indexed="81"/>
            <rFont val="Tahoma"/>
            <family val="2"/>
          </rPr>
          <t>=IF($C216="","",IFERROR(CIQ($C216,"IQ_DAYS_SALES_OUT",E$203,vd),""))</t>
        </r>
      </text>
    </comment>
    <comment ref="F216" authorId="0" shapeId="0" xr:uid="{4AD86732-2895-41C1-B6EF-9600482EAD4C}">
      <text>
        <r>
          <rPr>
            <b/>
            <sz val="9"/>
            <color indexed="81"/>
            <rFont val="Tahoma"/>
            <family val="2"/>
          </rPr>
          <t>=IF($C216="","",IFERROR(CIQ($C216,"IQ_DAYS_SALES_OUT",F$203,vd),""))</t>
        </r>
      </text>
    </comment>
    <comment ref="G216" authorId="0" shapeId="0" xr:uid="{8DE7A0D6-8D81-4AFF-9055-E60DE20C9C2F}">
      <text>
        <r>
          <rPr>
            <b/>
            <sz val="9"/>
            <color indexed="81"/>
            <rFont val="Tahoma"/>
            <family val="2"/>
          </rPr>
          <t>=IF($C216="","",IFERROR(CIQ($C216,"IQ_DAYS_SALES_OUT",G$203,vd),""))</t>
        </r>
      </text>
    </comment>
    <comment ref="H216" authorId="0" shapeId="0" xr:uid="{AB4F0AA9-7859-468D-B16B-C9EB98E3936C}">
      <text>
        <r>
          <rPr>
            <b/>
            <sz val="9"/>
            <color indexed="81"/>
            <rFont val="Tahoma"/>
            <family val="2"/>
          </rPr>
          <t>=IF($C216="","",IFERROR(CIQ($C216,"IQ_DAYS_SALES_OUT",H$203,vd),""))</t>
        </r>
      </text>
    </comment>
    <comment ref="I216" authorId="0" shapeId="0" xr:uid="{A13B80B8-7CBB-4BF2-9E7A-438D2107E373}">
      <text>
        <r>
          <rPr>
            <b/>
            <sz val="9"/>
            <color indexed="81"/>
            <rFont val="Tahoma"/>
            <family val="2"/>
          </rPr>
          <t>=IF($C216="","",IFERROR(CIQ($C216,"IQ_DAYS_SALES_OUT",I$203,vd),""))</t>
        </r>
      </text>
    </comment>
    <comment ref="J216" authorId="0" shapeId="0" xr:uid="{5641F4C1-CE10-4950-B157-4DD4D58EEF8C}">
      <text>
        <r>
          <rPr>
            <b/>
            <sz val="9"/>
            <color indexed="81"/>
            <rFont val="Tahoma"/>
            <family val="2"/>
          </rPr>
          <t>=IF($C216="","",IFERROR(CIQ($C216,"IQ_DAYS_SALES_OUT",J$203,vd),""))</t>
        </r>
      </text>
    </comment>
    <comment ref="K216" authorId="0" shapeId="0" xr:uid="{D342F02C-9439-4243-934A-6217A3F1955D}">
      <text>
        <r>
          <rPr>
            <b/>
            <sz val="9"/>
            <color indexed="81"/>
            <rFont val="Tahoma"/>
            <family val="2"/>
          </rPr>
          <t>=IF($C216="","",IFERROR(CIQ($C216,"IQ_DAYS_SALES_OUT",K$203,vd),""))</t>
        </r>
      </text>
    </comment>
    <comment ref="L216" authorId="0" shapeId="0" xr:uid="{D53228B0-9DC2-4E2F-846F-23CFE5922786}">
      <text>
        <r>
          <rPr>
            <b/>
            <sz val="9"/>
            <color indexed="81"/>
            <rFont val="Tahoma"/>
            <family val="2"/>
          </rPr>
          <t>=IF($C216="","",IFERROR(CIQ($C216,"IQ_DAYS_SALES_OUT",L$203,vd),""))</t>
        </r>
      </text>
    </comment>
    <comment ref="M216" authorId="0" shapeId="0" xr:uid="{F7C6B59F-D17A-4B44-9170-02DFE2666528}">
      <text>
        <r>
          <rPr>
            <b/>
            <sz val="9"/>
            <color indexed="81"/>
            <rFont val="Tahoma"/>
            <family val="2"/>
          </rPr>
          <t>=IF($C216="","",IFERROR(CIQ($C216,"IQ_DAYS_SALES_OUT",M$203,vd),""))</t>
        </r>
      </text>
    </comment>
    <comment ref="N216" authorId="0" shapeId="0" xr:uid="{B127AAC9-7C26-4B0B-85FD-9CA013508D36}">
      <text>
        <r>
          <rPr>
            <b/>
            <sz val="9"/>
            <color indexed="81"/>
            <rFont val="Tahoma"/>
            <family val="2"/>
          </rPr>
          <t>=IF($C216="","",IFERROR(CIQ($C216,"IQ_DAYS_SALES_OUT",N$203,vd),""))</t>
        </r>
      </text>
    </comment>
    <comment ref="D217" authorId="0" shapeId="0" xr:uid="{1A501C2F-7632-4BBA-9F6A-26FFE209A0A8}">
      <text>
        <r>
          <rPr>
            <b/>
            <sz val="9"/>
            <color indexed="81"/>
            <rFont val="Tahoma"/>
            <family val="2"/>
          </rPr>
          <t>=IF($C217="","",IFERROR(CIQ($C217,"IQ_DAYS_SALES_OUT",D$203,vd),""))</t>
        </r>
      </text>
    </comment>
    <comment ref="E217" authorId="0" shapeId="0" xr:uid="{80526B65-81B5-4B53-AC2E-399BC6BB950A}">
      <text>
        <r>
          <rPr>
            <b/>
            <sz val="9"/>
            <color indexed="81"/>
            <rFont val="Tahoma"/>
            <family val="2"/>
          </rPr>
          <t>=IF($C217="","",IFERROR(CIQ($C217,"IQ_DAYS_SALES_OUT",E$203,vd),""))</t>
        </r>
      </text>
    </comment>
    <comment ref="F217" authorId="0" shapeId="0" xr:uid="{FC1BA386-4FE5-42C9-ADCD-4C9800CCEE33}">
      <text>
        <r>
          <rPr>
            <b/>
            <sz val="9"/>
            <color indexed="81"/>
            <rFont val="Tahoma"/>
            <family val="2"/>
          </rPr>
          <t>=IF($C217="","",IFERROR(CIQ($C217,"IQ_DAYS_SALES_OUT",F$203,vd),""))</t>
        </r>
      </text>
    </comment>
    <comment ref="G217" authorId="0" shapeId="0" xr:uid="{8C9B8636-4731-4846-84EC-179E1525D2F0}">
      <text>
        <r>
          <rPr>
            <b/>
            <sz val="9"/>
            <color indexed="81"/>
            <rFont val="Tahoma"/>
            <family val="2"/>
          </rPr>
          <t>=IF($C217="","",IFERROR(CIQ($C217,"IQ_DAYS_SALES_OUT",G$203,vd),""))</t>
        </r>
      </text>
    </comment>
    <comment ref="H217" authorId="0" shapeId="0" xr:uid="{39864394-150D-4372-B6C5-47DC2979E62B}">
      <text>
        <r>
          <rPr>
            <b/>
            <sz val="9"/>
            <color indexed="81"/>
            <rFont val="Tahoma"/>
            <family val="2"/>
          </rPr>
          <t>=IF($C217="","",IFERROR(CIQ($C217,"IQ_DAYS_SALES_OUT",H$203,vd),""))</t>
        </r>
      </text>
    </comment>
    <comment ref="I217" authorId="0" shapeId="0" xr:uid="{2760F110-2B17-4850-9AFB-0866414C4649}">
      <text>
        <r>
          <rPr>
            <b/>
            <sz val="9"/>
            <color indexed="81"/>
            <rFont val="Tahoma"/>
            <family val="2"/>
          </rPr>
          <t>=IF($C217="","",IFERROR(CIQ($C217,"IQ_DAYS_SALES_OUT",I$203,vd),""))</t>
        </r>
      </text>
    </comment>
    <comment ref="J217" authorId="0" shapeId="0" xr:uid="{74BC0E3F-3730-449E-BBF1-482647C5A37E}">
      <text>
        <r>
          <rPr>
            <b/>
            <sz val="9"/>
            <color indexed="81"/>
            <rFont val="Tahoma"/>
            <family val="2"/>
          </rPr>
          <t>=IF($C217="","",IFERROR(CIQ($C217,"IQ_DAYS_SALES_OUT",J$203,vd),""))</t>
        </r>
      </text>
    </comment>
    <comment ref="K217" authorId="0" shapeId="0" xr:uid="{AC6F9D5B-6029-4282-832A-F3968798D0E9}">
      <text>
        <r>
          <rPr>
            <b/>
            <sz val="9"/>
            <color indexed="81"/>
            <rFont val="Tahoma"/>
            <family val="2"/>
          </rPr>
          <t>=IF($C217="","",IFERROR(CIQ($C217,"IQ_DAYS_SALES_OUT",K$203,vd),""))</t>
        </r>
      </text>
    </comment>
    <comment ref="L217" authorId="0" shapeId="0" xr:uid="{7A5D0883-CC73-4568-856B-0870183EE77E}">
      <text>
        <r>
          <rPr>
            <b/>
            <sz val="9"/>
            <color indexed="81"/>
            <rFont val="Tahoma"/>
            <family val="2"/>
          </rPr>
          <t>=IF($C217="","",IFERROR(CIQ($C217,"IQ_DAYS_SALES_OUT",L$203,vd),""))</t>
        </r>
      </text>
    </comment>
    <comment ref="M217" authorId="0" shapeId="0" xr:uid="{56A0B33B-2307-461C-98EC-56B75C9B7716}">
      <text>
        <r>
          <rPr>
            <b/>
            <sz val="9"/>
            <color indexed="81"/>
            <rFont val="Tahoma"/>
            <family val="2"/>
          </rPr>
          <t>=IF($C217="","",IFERROR(CIQ($C217,"IQ_DAYS_SALES_OUT",M$203,vd),""))</t>
        </r>
      </text>
    </comment>
    <comment ref="N217" authorId="0" shapeId="0" xr:uid="{D57E0F23-DCD1-42FE-B1FB-4D9F05B4E214}">
      <text>
        <r>
          <rPr>
            <b/>
            <sz val="9"/>
            <color indexed="81"/>
            <rFont val="Tahoma"/>
            <family val="2"/>
          </rPr>
          <t>=IF($C217="","",IFERROR(CIQ($C217,"IQ_DAYS_SALES_OUT",N$203,vd),""))</t>
        </r>
      </text>
    </comment>
    <comment ref="D218" authorId="0" shapeId="0" xr:uid="{9D1B7E5B-63EA-43A7-8ABC-8D3FD7FC6703}">
      <text>
        <r>
          <rPr>
            <b/>
            <sz val="9"/>
            <color indexed="81"/>
            <rFont val="Tahoma"/>
            <family val="2"/>
          </rPr>
          <t>=IF($C218="","",IFERROR(CIQ($C218,"IQ_DAYS_SALES_OUT",D$203,vd),""))</t>
        </r>
      </text>
    </comment>
    <comment ref="E218" authorId="0" shapeId="0" xr:uid="{BB4911AE-F038-4554-BA37-17933F92AB67}">
      <text>
        <r>
          <rPr>
            <b/>
            <sz val="9"/>
            <color indexed="81"/>
            <rFont val="Tahoma"/>
            <family val="2"/>
          </rPr>
          <t>=IF($C218="","",IFERROR(CIQ($C218,"IQ_DAYS_SALES_OUT",E$203,vd),""))</t>
        </r>
      </text>
    </comment>
    <comment ref="F218" authorId="0" shapeId="0" xr:uid="{8D3D0291-590A-4D57-8BF3-48CBAEE16ADD}">
      <text>
        <r>
          <rPr>
            <b/>
            <sz val="9"/>
            <color indexed="81"/>
            <rFont val="Tahoma"/>
            <family val="2"/>
          </rPr>
          <t>=IF($C218="","",IFERROR(CIQ($C218,"IQ_DAYS_SALES_OUT",F$203,vd),""))</t>
        </r>
      </text>
    </comment>
    <comment ref="G218" authorId="0" shapeId="0" xr:uid="{E9704350-8440-4319-9457-399A476CB711}">
      <text>
        <r>
          <rPr>
            <b/>
            <sz val="9"/>
            <color indexed="81"/>
            <rFont val="Tahoma"/>
            <family val="2"/>
          </rPr>
          <t>=IF($C218="","",IFERROR(CIQ($C218,"IQ_DAYS_SALES_OUT",G$203,vd),""))</t>
        </r>
      </text>
    </comment>
    <comment ref="H218" authorId="0" shapeId="0" xr:uid="{C38461A5-C99D-49D5-A02B-F35A16604DF8}">
      <text>
        <r>
          <rPr>
            <b/>
            <sz val="9"/>
            <color indexed="81"/>
            <rFont val="Tahoma"/>
            <family val="2"/>
          </rPr>
          <t>=IF($C218="","",IFERROR(CIQ($C218,"IQ_DAYS_SALES_OUT",H$203,vd),""))</t>
        </r>
      </text>
    </comment>
    <comment ref="I218" authorId="0" shapeId="0" xr:uid="{2A1C242C-F9FD-4367-9942-88E4D4F6E84F}">
      <text>
        <r>
          <rPr>
            <b/>
            <sz val="9"/>
            <color indexed="81"/>
            <rFont val="Tahoma"/>
            <family val="2"/>
          </rPr>
          <t>=IF($C218="","",IFERROR(CIQ($C218,"IQ_DAYS_SALES_OUT",I$203,vd),""))</t>
        </r>
      </text>
    </comment>
    <comment ref="J218" authorId="0" shapeId="0" xr:uid="{7A10E150-7399-42EC-86B6-111DD7D4D563}">
      <text>
        <r>
          <rPr>
            <b/>
            <sz val="9"/>
            <color indexed="81"/>
            <rFont val="Tahoma"/>
            <family val="2"/>
          </rPr>
          <t>=IF($C218="","",IFERROR(CIQ($C218,"IQ_DAYS_SALES_OUT",J$203,vd),""))</t>
        </r>
      </text>
    </comment>
    <comment ref="K218" authorId="0" shapeId="0" xr:uid="{A546688A-336B-443F-AE61-7BE1AA93B28F}">
      <text>
        <r>
          <rPr>
            <b/>
            <sz val="9"/>
            <color indexed="81"/>
            <rFont val="Tahoma"/>
            <family val="2"/>
          </rPr>
          <t>=IF($C218="","",IFERROR(CIQ($C218,"IQ_DAYS_SALES_OUT",K$203,vd),""))</t>
        </r>
      </text>
    </comment>
    <comment ref="L218" authorId="0" shapeId="0" xr:uid="{85DDEA99-B4AD-42AB-A412-DBD2D413514A}">
      <text>
        <r>
          <rPr>
            <b/>
            <sz val="9"/>
            <color indexed="81"/>
            <rFont val="Tahoma"/>
            <family val="2"/>
          </rPr>
          <t>=IF($C218="","",IFERROR(CIQ($C218,"IQ_DAYS_SALES_OUT",L$203,vd),""))</t>
        </r>
      </text>
    </comment>
    <comment ref="M218" authorId="0" shapeId="0" xr:uid="{DF5C1069-36BB-42CC-A509-049F8370DDED}">
      <text>
        <r>
          <rPr>
            <b/>
            <sz val="9"/>
            <color indexed="81"/>
            <rFont val="Tahoma"/>
            <family val="2"/>
          </rPr>
          <t>=IF($C218="","",IFERROR(CIQ($C218,"IQ_DAYS_SALES_OUT",M$203,vd),""))</t>
        </r>
      </text>
    </comment>
    <comment ref="N218" authorId="0" shapeId="0" xr:uid="{D0C6126E-932F-4FF7-A09F-0E81E3374FC2}">
      <text>
        <r>
          <rPr>
            <b/>
            <sz val="9"/>
            <color indexed="81"/>
            <rFont val="Tahoma"/>
            <family val="2"/>
          </rPr>
          <t>=IF($C218="","",IFERROR(CIQ($C218,"IQ_DAYS_SALES_OUT",N$203,vd),""))</t>
        </r>
      </text>
    </comment>
    <comment ref="D227" authorId="0" shapeId="0" xr:uid="{017B88E1-B168-4C04-8ED0-1EFD825E9607}">
      <text>
        <r>
          <rPr>
            <b/>
            <sz val="9"/>
            <color indexed="81"/>
            <rFont val="Tahoma"/>
            <family val="2"/>
          </rPr>
          <t>=IF($C227="","",IFERROR(CIQ($C227,"IQ_DAYS_PAYABLE_OUT",D$226,vd),""))</t>
        </r>
      </text>
    </comment>
    <comment ref="E227" authorId="0" shapeId="0" xr:uid="{80CDED5E-88AB-4B84-BE2B-CECDE8BD1755}">
      <text>
        <r>
          <rPr>
            <b/>
            <sz val="9"/>
            <color indexed="81"/>
            <rFont val="Tahoma"/>
            <family val="2"/>
          </rPr>
          <t>=IF($C227="","",IFERROR(CIQ($C227,"IQ_DAYS_PAYABLE_OUT",E$226,vd),""))</t>
        </r>
      </text>
    </comment>
    <comment ref="F227" authorId="0" shapeId="0" xr:uid="{76F6C931-8A59-4A47-8902-E58735759086}">
      <text>
        <r>
          <rPr>
            <b/>
            <sz val="9"/>
            <color indexed="81"/>
            <rFont val="Tahoma"/>
            <family val="2"/>
          </rPr>
          <t>=IF($C227="","",IFERROR(CIQ($C227,"IQ_DAYS_PAYABLE_OUT",F$226,vd),""))</t>
        </r>
      </text>
    </comment>
    <comment ref="G227" authorId="0" shapeId="0" xr:uid="{1D625AC5-F047-400A-8D30-EE665C52AB63}">
      <text>
        <r>
          <rPr>
            <b/>
            <sz val="9"/>
            <color indexed="81"/>
            <rFont val="Tahoma"/>
            <family val="2"/>
          </rPr>
          <t>=IF($C227="","",IFERROR(CIQ($C227,"IQ_DAYS_PAYABLE_OUT",G$226,vd),""))</t>
        </r>
      </text>
    </comment>
    <comment ref="H227" authorId="0" shapeId="0" xr:uid="{93734E3F-00B3-4C64-9258-E7E834AA21EF}">
      <text>
        <r>
          <rPr>
            <b/>
            <sz val="9"/>
            <color indexed="81"/>
            <rFont val="Tahoma"/>
            <family val="2"/>
          </rPr>
          <t>=IF($C227="","",IFERROR(CIQ($C227,"IQ_DAYS_PAYABLE_OUT",H$226,vd),""))</t>
        </r>
      </text>
    </comment>
    <comment ref="I227" authorId="0" shapeId="0" xr:uid="{D9FC9A71-80D3-4306-9415-1B9C483B59E4}">
      <text>
        <r>
          <rPr>
            <b/>
            <sz val="9"/>
            <color indexed="81"/>
            <rFont val="Tahoma"/>
            <family val="2"/>
          </rPr>
          <t>=IF($C227="","",IFERROR(CIQ($C227,"IQ_DAYS_PAYABLE_OUT",I$226,vd),""))</t>
        </r>
      </text>
    </comment>
    <comment ref="J227" authorId="0" shapeId="0" xr:uid="{5D368758-7422-4035-9FDF-FE9265DE34D1}">
      <text>
        <r>
          <rPr>
            <b/>
            <sz val="9"/>
            <color indexed="81"/>
            <rFont val="Tahoma"/>
            <family val="2"/>
          </rPr>
          <t>=IF($C227="","",IFERROR(CIQ($C227,"IQ_DAYS_PAYABLE_OUT",J$226,vd),""))</t>
        </r>
      </text>
    </comment>
    <comment ref="K227" authorId="0" shapeId="0" xr:uid="{21938033-8BD1-4341-AEA4-240724F801BD}">
      <text>
        <r>
          <rPr>
            <b/>
            <sz val="9"/>
            <color indexed="81"/>
            <rFont val="Tahoma"/>
            <family val="2"/>
          </rPr>
          <t>=IF($C227="","",IFERROR(CIQ($C227,"IQ_DAYS_PAYABLE_OUT",K$226,vd),""))</t>
        </r>
      </text>
    </comment>
    <comment ref="L227" authorId="0" shapeId="0" xr:uid="{6E799C01-8161-4267-B32A-8B868B39523C}">
      <text>
        <r>
          <rPr>
            <b/>
            <sz val="9"/>
            <color indexed="81"/>
            <rFont val="Tahoma"/>
            <family val="2"/>
          </rPr>
          <t>=IF($C227="","",IFERROR(CIQ($C227,"IQ_DAYS_PAYABLE_OUT",L$226,vd),""))</t>
        </r>
      </text>
    </comment>
    <comment ref="M227" authorId="0" shapeId="0" xr:uid="{7CFD5705-EB5B-4636-95B4-BA7CEDBDDAC9}">
      <text>
        <r>
          <rPr>
            <b/>
            <sz val="9"/>
            <color indexed="81"/>
            <rFont val="Tahoma"/>
            <family val="2"/>
          </rPr>
          <t>=IF($C227="","",IFERROR(CIQ($C227,"IQ_DAYS_PAYABLE_OUT",M$226,vd),""))</t>
        </r>
      </text>
    </comment>
    <comment ref="N227" authorId="0" shapeId="0" xr:uid="{18BBE394-B75B-4A60-8D6C-31A46BECCED9}">
      <text>
        <r>
          <rPr>
            <b/>
            <sz val="9"/>
            <color indexed="81"/>
            <rFont val="Tahoma"/>
            <family val="2"/>
          </rPr>
          <t>=IF($C227="","",IFERROR(CIQ($C227,"IQ_DAYS_PAYABLE_OUT",N$226,vd),""))</t>
        </r>
      </text>
    </comment>
    <comment ref="D228" authorId="0" shapeId="0" xr:uid="{94D06BA7-8C7E-4BDE-BCFA-3D5FE45F36F2}">
      <text>
        <r>
          <rPr>
            <b/>
            <sz val="9"/>
            <color indexed="81"/>
            <rFont val="Tahoma"/>
            <family val="2"/>
          </rPr>
          <t>=IF($C228="","",IFERROR(CIQ($C228,"IQ_DAYS_PAYABLE_OUT",D$226,vd),""))</t>
        </r>
      </text>
    </comment>
    <comment ref="E228" authorId="0" shapeId="0" xr:uid="{90C8FB55-B267-4059-9B2A-7023A1C5F77B}">
      <text>
        <r>
          <rPr>
            <b/>
            <sz val="9"/>
            <color indexed="81"/>
            <rFont val="Tahoma"/>
            <family val="2"/>
          </rPr>
          <t>=IF($C228="","",IFERROR(CIQ($C228,"IQ_DAYS_PAYABLE_OUT",E$226,vd),""))</t>
        </r>
      </text>
    </comment>
    <comment ref="F228" authorId="0" shapeId="0" xr:uid="{AA43B4EC-5C0C-4C38-BBEA-8FA19D1C8CC0}">
      <text>
        <r>
          <rPr>
            <b/>
            <sz val="9"/>
            <color indexed="81"/>
            <rFont val="Tahoma"/>
            <family val="2"/>
          </rPr>
          <t>=IF($C228="","",IFERROR(CIQ($C228,"IQ_DAYS_PAYABLE_OUT",F$226,vd),""))</t>
        </r>
      </text>
    </comment>
    <comment ref="G228" authorId="0" shapeId="0" xr:uid="{C073649C-16A2-4ACC-BF12-8E7B8FD7D9FB}">
      <text>
        <r>
          <rPr>
            <b/>
            <sz val="9"/>
            <color indexed="81"/>
            <rFont val="Tahoma"/>
            <family val="2"/>
          </rPr>
          <t>=IF($C228="","",IFERROR(CIQ($C228,"IQ_DAYS_PAYABLE_OUT",G$226,vd),""))</t>
        </r>
      </text>
    </comment>
    <comment ref="H228" authorId="0" shapeId="0" xr:uid="{21E71C2A-F744-43CF-8AB2-9DDB15CA5121}">
      <text>
        <r>
          <rPr>
            <b/>
            <sz val="9"/>
            <color indexed="81"/>
            <rFont val="Tahoma"/>
            <family val="2"/>
          </rPr>
          <t>=IF($C228="","",IFERROR(CIQ($C228,"IQ_DAYS_PAYABLE_OUT",H$226,vd),""))</t>
        </r>
      </text>
    </comment>
    <comment ref="I228" authorId="0" shapeId="0" xr:uid="{51C29B86-0038-4447-8DCF-C4F2E66F7132}">
      <text>
        <r>
          <rPr>
            <b/>
            <sz val="9"/>
            <color indexed="81"/>
            <rFont val="Tahoma"/>
            <family val="2"/>
          </rPr>
          <t>=IF($C228="","",IFERROR(CIQ($C228,"IQ_DAYS_PAYABLE_OUT",I$226,vd),""))</t>
        </r>
      </text>
    </comment>
    <comment ref="J228" authorId="0" shapeId="0" xr:uid="{1F2E2A01-3739-4B9E-B6D2-92EA81BB79DA}">
      <text>
        <r>
          <rPr>
            <b/>
            <sz val="9"/>
            <color indexed="81"/>
            <rFont val="Tahoma"/>
            <family val="2"/>
          </rPr>
          <t>=IF($C228="","",IFERROR(CIQ($C228,"IQ_DAYS_PAYABLE_OUT",J$226,vd),""))</t>
        </r>
      </text>
    </comment>
    <comment ref="K228" authorId="0" shapeId="0" xr:uid="{8B01218E-AD43-4F39-A219-350E2FB88A84}">
      <text>
        <r>
          <rPr>
            <b/>
            <sz val="9"/>
            <color indexed="81"/>
            <rFont val="Tahoma"/>
            <family val="2"/>
          </rPr>
          <t>=IF($C228="","",IFERROR(CIQ($C228,"IQ_DAYS_PAYABLE_OUT",K$226,vd),""))</t>
        </r>
      </text>
    </comment>
    <comment ref="L228" authorId="0" shapeId="0" xr:uid="{E1969143-ED8F-480C-9FDC-2B0F48D72A9B}">
      <text>
        <r>
          <rPr>
            <b/>
            <sz val="9"/>
            <color indexed="81"/>
            <rFont val="Tahoma"/>
            <family val="2"/>
          </rPr>
          <t>=IF($C228="","",IFERROR(CIQ($C228,"IQ_DAYS_PAYABLE_OUT",L$226,vd),""))</t>
        </r>
      </text>
    </comment>
    <comment ref="M228" authorId="0" shapeId="0" xr:uid="{CA9DC269-B85E-461E-90A6-A11272BB6FC2}">
      <text>
        <r>
          <rPr>
            <b/>
            <sz val="9"/>
            <color indexed="81"/>
            <rFont val="Tahoma"/>
            <family val="2"/>
          </rPr>
          <t>=IF($C228="","",IFERROR(CIQ($C228,"IQ_DAYS_PAYABLE_OUT",M$226,vd),""))</t>
        </r>
      </text>
    </comment>
    <comment ref="N228" authorId="0" shapeId="0" xr:uid="{D86E6942-04C6-41FA-B5DB-6961982E7D89}">
      <text>
        <r>
          <rPr>
            <b/>
            <sz val="9"/>
            <color indexed="81"/>
            <rFont val="Tahoma"/>
            <family val="2"/>
          </rPr>
          <t>=IF($C228="","",IFERROR(CIQ($C228,"IQ_DAYS_PAYABLE_OUT",N$226,vd),""))</t>
        </r>
      </text>
    </comment>
    <comment ref="D229" authorId="0" shapeId="0" xr:uid="{195BDFBD-DDBD-45A8-96AE-C1712D1FFA1D}">
      <text>
        <r>
          <rPr>
            <b/>
            <sz val="9"/>
            <color indexed="81"/>
            <rFont val="Tahoma"/>
            <family val="2"/>
          </rPr>
          <t>=IF($C229="","",IFERROR(CIQ($C229,"IQ_DAYS_PAYABLE_OUT",D$226,vd),""))</t>
        </r>
      </text>
    </comment>
    <comment ref="E229" authorId="0" shapeId="0" xr:uid="{BB5DAC66-A90F-4727-9058-5517E10517CB}">
      <text>
        <r>
          <rPr>
            <b/>
            <sz val="9"/>
            <color indexed="81"/>
            <rFont val="Tahoma"/>
            <family val="2"/>
          </rPr>
          <t>=IF($C229="","",IFERROR(CIQ($C229,"IQ_DAYS_PAYABLE_OUT",E$226,vd),""))</t>
        </r>
      </text>
    </comment>
    <comment ref="F229" authorId="0" shapeId="0" xr:uid="{775F4BC4-751B-4F7F-B477-017552994AC7}">
      <text>
        <r>
          <rPr>
            <b/>
            <sz val="9"/>
            <color indexed="81"/>
            <rFont val="Tahoma"/>
            <family val="2"/>
          </rPr>
          <t>=IF($C229="","",IFERROR(CIQ($C229,"IQ_DAYS_PAYABLE_OUT",F$226,vd),""))</t>
        </r>
      </text>
    </comment>
    <comment ref="G229" authorId="0" shapeId="0" xr:uid="{837D3DEA-6A22-42C7-AEFB-3157333E9A53}">
      <text>
        <r>
          <rPr>
            <b/>
            <sz val="9"/>
            <color indexed="81"/>
            <rFont val="Tahoma"/>
            <family val="2"/>
          </rPr>
          <t>=IF($C229="","",IFERROR(CIQ($C229,"IQ_DAYS_PAYABLE_OUT",G$226,vd),""))</t>
        </r>
      </text>
    </comment>
    <comment ref="H229" authorId="0" shapeId="0" xr:uid="{11D3CE03-C089-4C8C-9E76-364A9748F37A}">
      <text>
        <r>
          <rPr>
            <b/>
            <sz val="9"/>
            <color indexed="81"/>
            <rFont val="Tahoma"/>
            <family val="2"/>
          </rPr>
          <t>=IF($C229="","",IFERROR(CIQ($C229,"IQ_DAYS_PAYABLE_OUT",H$226,vd),""))</t>
        </r>
      </text>
    </comment>
    <comment ref="I229" authorId="0" shapeId="0" xr:uid="{D2C634DF-F620-47E8-AD14-318CA1E6AE9A}">
      <text>
        <r>
          <rPr>
            <b/>
            <sz val="9"/>
            <color indexed="81"/>
            <rFont val="Tahoma"/>
            <family val="2"/>
          </rPr>
          <t>=IF($C229="","",IFERROR(CIQ($C229,"IQ_DAYS_PAYABLE_OUT",I$226,vd),""))</t>
        </r>
      </text>
    </comment>
    <comment ref="J229" authorId="0" shapeId="0" xr:uid="{438C6872-A5B4-44C8-A04B-C4FB7D4B2C1B}">
      <text>
        <r>
          <rPr>
            <b/>
            <sz val="9"/>
            <color indexed="81"/>
            <rFont val="Tahoma"/>
            <family val="2"/>
          </rPr>
          <t>=IF($C229="","",IFERROR(CIQ($C229,"IQ_DAYS_PAYABLE_OUT",J$226,vd),""))</t>
        </r>
      </text>
    </comment>
    <comment ref="K229" authorId="0" shapeId="0" xr:uid="{FF91AD78-299B-4240-9FAF-011E92223971}">
      <text>
        <r>
          <rPr>
            <b/>
            <sz val="9"/>
            <color indexed="81"/>
            <rFont val="Tahoma"/>
            <family val="2"/>
          </rPr>
          <t>=IF($C229="","",IFERROR(CIQ($C229,"IQ_DAYS_PAYABLE_OUT",K$226,vd),""))</t>
        </r>
      </text>
    </comment>
    <comment ref="L229" authorId="0" shapeId="0" xr:uid="{FBA8B76F-7EF7-4B74-A804-49F893167CA0}">
      <text>
        <r>
          <rPr>
            <b/>
            <sz val="9"/>
            <color indexed="81"/>
            <rFont val="Tahoma"/>
            <family val="2"/>
          </rPr>
          <t>=IF($C229="","",IFERROR(CIQ($C229,"IQ_DAYS_PAYABLE_OUT",L$226,vd),""))</t>
        </r>
      </text>
    </comment>
    <comment ref="M229" authorId="0" shapeId="0" xr:uid="{BE522E03-6C81-4C5E-8E0A-5DFAD9817CD7}">
      <text>
        <r>
          <rPr>
            <b/>
            <sz val="9"/>
            <color indexed="81"/>
            <rFont val="Tahoma"/>
            <family val="2"/>
          </rPr>
          <t>=IF($C229="","",IFERROR(CIQ($C229,"IQ_DAYS_PAYABLE_OUT",M$226,vd),""))</t>
        </r>
      </text>
    </comment>
    <comment ref="N229" authorId="0" shapeId="0" xr:uid="{531D6E3C-0655-4F0B-951C-8869F688D95E}">
      <text>
        <r>
          <rPr>
            <b/>
            <sz val="9"/>
            <color indexed="81"/>
            <rFont val="Tahoma"/>
            <family val="2"/>
          </rPr>
          <t>=IF($C229="","",IFERROR(CIQ($C229,"IQ_DAYS_PAYABLE_OUT",N$226,vd),""))</t>
        </r>
      </text>
    </comment>
    <comment ref="D230" authorId="0" shapeId="0" xr:uid="{4B87D738-7C35-417F-A762-C4324A068717}">
      <text>
        <r>
          <rPr>
            <b/>
            <sz val="9"/>
            <color indexed="81"/>
            <rFont val="Tahoma"/>
            <family val="2"/>
          </rPr>
          <t>=IF($C230="","",IFERROR(CIQ($C230,"IQ_DAYS_PAYABLE_OUT",D$226,vd),""))</t>
        </r>
      </text>
    </comment>
    <comment ref="E230" authorId="0" shapeId="0" xr:uid="{2E14A486-2742-44F1-8730-0F258042B372}">
      <text>
        <r>
          <rPr>
            <b/>
            <sz val="9"/>
            <color indexed="81"/>
            <rFont val="Tahoma"/>
            <family val="2"/>
          </rPr>
          <t>=IF($C230="","",IFERROR(CIQ($C230,"IQ_DAYS_PAYABLE_OUT",E$226,vd),""))</t>
        </r>
      </text>
    </comment>
    <comment ref="F230" authorId="0" shapeId="0" xr:uid="{E56436A9-851A-47BC-8A07-50DEF9B2EF20}">
      <text>
        <r>
          <rPr>
            <b/>
            <sz val="9"/>
            <color indexed="81"/>
            <rFont val="Tahoma"/>
            <family val="2"/>
          </rPr>
          <t>=IF($C230="","",IFERROR(CIQ($C230,"IQ_DAYS_PAYABLE_OUT",F$226,vd),""))</t>
        </r>
      </text>
    </comment>
    <comment ref="G230" authorId="0" shapeId="0" xr:uid="{493FB373-33DA-431D-91DC-8D0DED0E1A7A}">
      <text>
        <r>
          <rPr>
            <b/>
            <sz val="9"/>
            <color indexed="81"/>
            <rFont val="Tahoma"/>
            <family val="2"/>
          </rPr>
          <t>=IF($C230="","",IFERROR(CIQ($C230,"IQ_DAYS_PAYABLE_OUT",G$226,vd),""))</t>
        </r>
      </text>
    </comment>
    <comment ref="H230" authorId="0" shapeId="0" xr:uid="{A9C169FD-47AA-4F33-9EC6-C29E7B97E0D4}">
      <text>
        <r>
          <rPr>
            <b/>
            <sz val="9"/>
            <color indexed="81"/>
            <rFont val="Tahoma"/>
            <family val="2"/>
          </rPr>
          <t>=IF($C230="","",IFERROR(CIQ($C230,"IQ_DAYS_PAYABLE_OUT",H$226,vd),""))</t>
        </r>
      </text>
    </comment>
    <comment ref="I230" authorId="0" shapeId="0" xr:uid="{010FCFFD-357D-4AAC-BD3A-7C380E3C703C}">
      <text>
        <r>
          <rPr>
            <b/>
            <sz val="9"/>
            <color indexed="81"/>
            <rFont val="Tahoma"/>
            <family val="2"/>
          </rPr>
          <t>=IF($C230="","",IFERROR(CIQ($C230,"IQ_DAYS_PAYABLE_OUT",I$226,vd),""))</t>
        </r>
      </text>
    </comment>
    <comment ref="J230" authorId="0" shapeId="0" xr:uid="{842692EC-9B9F-4AF6-9816-1CE37A3AECC0}">
      <text>
        <r>
          <rPr>
            <b/>
            <sz val="9"/>
            <color indexed="81"/>
            <rFont val="Tahoma"/>
            <family val="2"/>
          </rPr>
          <t>=IF($C230="","",IFERROR(CIQ($C230,"IQ_DAYS_PAYABLE_OUT",J$226,vd),""))</t>
        </r>
      </text>
    </comment>
    <comment ref="K230" authorId="0" shapeId="0" xr:uid="{CAEA1D6A-312E-4FB4-92A8-7E7881C829CE}">
      <text>
        <r>
          <rPr>
            <b/>
            <sz val="9"/>
            <color indexed="81"/>
            <rFont val="Tahoma"/>
            <family val="2"/>
          </rPr>
          <t>=IF($C230="","",IFERROR(CIQ($C230,"IQ_DAYS_PAYABLE_OUT",K$226,vd),""))</t>
        </r>
      </text>
    </comment>
    <comment ref="L230" authorId="0" shapeId="0" xr:uid="{7310A6DF-86B7-4EF7-A749-DD341A655F13}">
      <text>
        <r>
          <rPr>
            <b/>
            <sz val="9"/>
            <color indexed="81"/>
            <rFont val="Tahoma"/>
            <family val="2"/>
          </rPr>
          <t>=IF($C230="","",IFERROR(CIQ($C230,"IQ_DAYS_PAYABLE_OUT",L$226,vd),""))</t>
        </r>
      </text>
    </comment>
    <comment ref="M230" authorId="0" shapeId="0" xr:uid="{551B8B67-5381-4831-BFA1-83269B30924E}">
      <text>
        <r>
          <rPr>
            <b/>
            <sz val="9"/>
            <color indexed="81"/>
            <rFont val="Tahoma"/>
            <family val="2"/>
          </rPr>
          <t>=IF($C230="","",IFERROR(CIQ($C230,"IQ_DAYS_PAYABLE_OUT",M$226,vd),""))</t>
        </r>
      </text>
    </comment>
    <comment ref="N230" authorId="0" shapeId="0" xr:uid="{C3EF3A83-FB5A-44A3-8FDE-68025FD8E096}">
      <text>
        <r>
          <rPr>
            <b/>
            <sz val="9"/>
            <color indexed="81"/>
            <rFont val="Tahoma"/>
            <family val="2"/>
          </rPr>
          <t>=IF($C230="","",IFERROR(CIQ($C230,"IQ_DAYS_PAYABLE_OUT",N$226,vd),""))</t>
        </r>
      </text>
    </comment>
    <comment ref="D231" authorId="0" shapeId="0" xr:uid="{EEEAFBCC-AE67-4A61-B84C-74DCE7D85F88}">
      <text>
        <r>
          <rPr>
            <b/>
            <sz val="9"/>
            <color indexed="81"/>
            <rFont val="Tahoma"/>
            <family val="2"/>
          </rPr>
          <t>=IF($C231="","",IFERROR(CIQ($C231,"IQ_DAYS_PAYABLE_OUT",D$226,vd),""))</t>
        </r>
      </text>
    </comment>
    <comment ref="E231" authorId="0" shapeId="0" xr:uid="{8F249A8A-EAB3-424C-9912-9A5703E30502}">
      <text>
        <r>
          <rPr>
            <b/>
            <sz val="9"/>
            <color indexed="81"/>
            <rFont val="Tahoma"/>
            <family val="2"/>
          </rPr>
          <t>=IF($C231="","",IFERROR(CIQ($C231,"IQ_DAYS_PAYABLE_OUT",E$226,vd),""))</t>
        </r>
      </text>
    </comment>
    <comment ref="F231" authorId="0" shapeId="0" xr:uid="{B89CF4E2-AE87-4CCC-B143-FD2E9A711FA5}">
      <text>
        <r>
          <rPr>
            <b/>
            <sz val="9"/>
            <color indexed="81"/>
            <rFont val="Tahoma"/>
            <family val="2"/>
          </rPr>
          <t>=IF($C231="","",IFERROR(CIQ($C231,"IQ_DAYS_PAYABLE_OUT",F$226,vd),""))</t>
        </r>
      </text>
    </comment>
    <comment ref="G231" authorId="0" shapeId="0" xr:uid="{5DD4B22A-9184-4565-8487-E2D11CD33A48}">
      <text>
        <r>
          <rPr>
            <b/>
            <sz val="9"/>
            <color indexed="81"/>
            <rFont val="Tahoma"/>
            <family val="2"/>
          </rPr>
          <t>=IF($C231="","",IFERROR(CIQ($C231,"IQ_DAYS_PAYABLE_OUT",G$226,vd),""))</t>
        </r>
      </text>
    </comment>
    <comment ref="H231" authorId="0" shapeId="0" xr:uid="{EE3E5199-2533-480F-A534-770C97433CCF}">
      <text>
        <r>
          <rPr>
            <b/>
            <sz val="9"/>
            <color indexed="81"/>
            <rFont val="Tahoma"/>
            <family val="2"/>
          </rPr>
          <t>=IF($C231="","",IFERROR(CIQ($C231,"IQ_DAYS_PAYABLE_OUT",H$226,vd),""))</t>
        </r>
      </text>
    </comment>
    <comment ref="I231" authorId="0" shapeId="0" xr:uid="{87FBA0EB-F4FA-48EF-A093-D439F80E5999}">
      <text>
        <r>
          <rPr>
            <b/>
            <sz val="9"/>
            <color indexed="81"/>
            <rFont val="Tahoma"/>
            <family val="2"/>
          </rPr>
          <t>=IF($C231="","",IFERROR(CIQ($C231,"IQ_DAYS_PAYABLE_OUT",I$226,vd),""))</t>
        </r>
      </text>
    </comment>
    <comment ref="J231" authorId="0" shapeId="0" xr:uid="{E08C8796-817E-4AA7-ACFF-CFDCB6FEFAD2}">
      <text>
        <r>
          <rPr>
            <b/>
            <sz val="9"/>
            <color indexed="81"/>
            <rFont val="Tahoma"/>
            <family val="2"/>
          </rPr>
          <t>=IF($C231="","",IFERROR(CIQ($C231,"IQ_DAYS_PAYABLE_OUT",J$226,vd),""))</t>
        </r>
      </text>
    </comment>
    <comment ref="K231" authorId="0" shapeId="0" xr:uid="{59960896-709B-45F1-BF91-E3681FFE0BC8}">
      <text>
        <r>
          <rPr>
            <b/>
            <sz val="9"/>
            <color indexed="81"/>
            <rFont val="Tahoma"/>
            <family val="2"/>
          </rPr>
          <t>=IF($C231="","",IFERROR(CIQ($C231,"IQ_DAYS_PAYABLE_OUT",K$226,vd),""))</t>
        </r>
      </text>
    </comment>
    <comment ref="L231" authorId="0" shapeId="0" xr:uid="{9C4024BE-AFC6-41C7-8C50-DA355F2E8E33}">
      <text>
        <r>
          <rPr>
            <b/>
            <sz val="9"/>
            <color indexed="81"/>
            <rFont val="Tahoma"/>
            <family val="2"/>
          </rPr>
          <t>=IF($C231="","",IFERROR(CIQ($C231,"IQ_DAYS_PAYABLE_OUT",L$226,vd),""))</t>
        </r>
      </text>
    </comment>
    <comment ref="M231" authorId="0" shapeId="0" xr:uid="{E28A2FC1-A9CD-4A05-B457-6F041D8ECFAD}">
      <text>
        <r>
          <rPr>
            <b/>
            <sz val="9"/>
            <color indexed="81"/>
            <rFont val="Tahoma"/>
            <family val="2"/>
          </rPr>
          <t>=IF($C231="","",IFERROR(CIQ($C231,"IQ_DAYS_PAYABLE_OUT",M$226,vd),""))</t>
        </r>
      </text>
    </comment>
    <comment ref="N231" authorId="0" shapeId="0" xr:uid="{6F163680-45A8-4B7A-8682-FD33D875CACD}">
      <text>
        <r>
          <rPr>
            <b/>
            <sz val="9"/>
            <color indexed="81"/>
            <rFont val="Tahoma"/>
            <family val="2"/>
          </rPr>
          <t>=IF($C231="","",IFERROR(CIQ($C231,"IQ_DAYS_PAYABLE_OUT",N$226,vd),""))</t>
        </r>
      </text>
    </comment>
    <comment ref="D232" authorId="0" shapeId="0" xr:uid="{E0E7D5F2-7F0B-4DA3-9888-A0C98CD761F3}">
      <text>
        <r>
          <rPr>
            <b/>
            <sz val="9"/>
            <color indexed="81"/>
            <rFont val="Tahoma"/>
            <family val="2"/>
          </rPr>
          <t>=IF($C232="","",IFERROR(CIQ($C232,"IQ_DAYS_PAYABLE_OUT",D$226,vd),""))</t>
        </r>
      </text>
    </comment>
    <comment ref="E232" authorId="0" shapeId="0" xr:uid="{83A8E953-D91C-4F68-9724-61A037D25723}">
      <text>
        <r>
          <rPr>
            <b/>
            <sz val="9"/>
            <color indexed="81"/>
            <rFont val="Tahoma"/>
            <family val="2"/>
          </rPr>
          <t>=IF($C232="","",IFERROR(CIQ($C232,"IQ_DAYS_PAYABLE_OUT",E$226,vd),""))</t>
        </r>
      </text>
    </comment>
    <comment ref="F232" authorId="0" shapeId="0" xr:uid="{47CD1C26-F1E5-4454-B723-76F413FC8B6A}">
      <text>
        <r>
          <rPr>
            <b/>
            <sz val="9"/>
            <color indexed="81"/>
            <rFont val="Tahoma"/>
            <family val="2"/>
          </rPr>
          <t>=IF($C232="","",IFERROR(CIQ($C232,"IQ_DAYS_PAYABLE_OUT",F$226,vd),""))</t>
        </r>
      </text>
    </comment>
    <comment ref="G232" authorId="0" shapeId="0" xr:uid="{CF6F7848-7D1B-4434-948B-CF7123599AF4}">
      <text>
        <r>
          <rPr>
            <b/>
            <sz val="9"/>
            <color indexed="81"/>
            <rFont val="Tahoma"/>
            <family val="2"/>
          </rPr>
          <t>=IF($C232="","",IFERROR(CIQ($C232,"IQ_DAYS_PAYABLE_OUT",G$226,vd),""))</t>
        </r>
      </text>
    </comment>
    <comment ref="H232" authorId="0" shapeId="0" xr:uid="{90D30421-C7BE-4FF7-A414-084C2A30E1CD}">
      <text>
        <r>
          <rPr>
            <b/>
            <sz val="9"/>
            <color indexed="81"/>
            <rFont val="Tahoma"/>
            <family val="2"/>
          </rPr>
          <t>=IF($C232="","",IFERROR(CIQ($C232,"IQ_DAYS_PAYABLE_OUT",H$226,vd),""))</t>
        </r>
      </text>
    </comment>
    <comment ref="I232" authorId="0" shapeId="0" xr:uid="{383461C4-787D-4CDA-A85C-860953A9C4E9}">
      <text>
        <r>
          <rPr>
            <b/>
            <sz val="9"/>
            <color indexed="81"/>
            <rFont val="Tahoma"/>
            <family val="2"/>
          </rPr>
          <t>=IF($C232="","",IFERROR(CIQ($C232,"IQ_DAYS_PAYABLE_OUT",I$226,vd),""))</t>
        </r>
      </text>
    </comment>
    <comment ref="J232" authorId="0" shapeId="0" xr:uid="{F4C17FC5-7C85-4F6D-9B64-5BF05072D420}">
      <text>
        <r>
          <rPr>
            <b/>
            <sz val="9"/>
            <color indexed="81"/>
            <rFont val="Tahoma"/>
            <family val="2"/>
          </rPr>
          <t>=IF($C232="","",IFERROR(CIQ($C232,"IQ_DAYS_PAYABLE_OUT",J$226,vd),""))</t>
        </r>
      </text>
    </comment>
    <comment ref="K232" authorId="0" shapeId="0" xr:uid="{7003C276-DABF-4304-9B5C-1C6BCF990AC5}">
      <text>
        <r>
          <rPr>
            <b/>
            <sz val="9"/>
            <color indexed="81"/>
            <rFont val="Tahoma"/>
            <family val="2"/>
          </rPr>
          <t>=IF($C232="","",IFERROR(CIQ($C232,"IQ_DAYS_PAYABLE_OUT",K$226,vd),""))</t>
        </r>
      </text>
    </comment>
    <comment ref="L232" authorId="0" shapeId="0" xr:uid="{35CE5B07-6049-45BE-B420-5BE527AED8F3}">
      <text>
        <r>
          <rPr>
            <b/>
            <sz val="9"/>
            <color indexed="81"/>
            <rFont val="Tahoma"/>
            <family val="2"/>
          </rPr>
          <t>=IF($C232="","",IFERROR(CIQ($C232,"IQ_DAYS_PAYABLE_OUT",L$226,vd),""))</t>
        </r>
      </text>
    </comment>
    <comment ref="M232" authorId="0" shapeId="0" xr:uid="{CDF4E6BB-0E05-48E3-8351-DA70A25EC59E}">
      <text>
        <r>
          <rPr>
            <b/>
            <sz val="9"/>
            <color indexed="81"/>
            <rFont val="Tahoma"/>
            <family val="2"/>
          </rPr>
          <t>=IF($C232="","",IFERROR(CIQ($C232,"IQ_DAYS_PAYABLE_OUT",M$226,vd),""))</t>
        </r>
      </text>
    </comment>
    <comment ref="N232" authorId="0" shapeId="0" xr:uid="{FD77834F-A7E3-4D1E-A4C8-3DF395C3C54E}">
      <text>
        <r>
          <rPr>
            <b/>
            <sz val="9"/>
            <color indexed="81"/>
            <rFont val="Tahoma"/>
            <family val="2"/>
          </rPr>
          <t>=IF($C232="","",IFERROR(CIQ($C232,"IQ_DAYS_PAYABLE_OUT",N$226,vd),""))</t>
        </r>
      </text>
    </comment>
    <comment ref="D233" authorId="0" shapeId="0" xr:uid="{F0BD26E1-792A-49FA-8EB6-988558C57811}">
      <text>
        <r>
          <rPr>
            <b/>
            <sz val="9"/>
            <color indexed="81"/>
            <rFont val="Tahoma"/>
            <family val="2"/>
          </rPr>
          <t>=IF($C233="","",IFERROR(CIQ($C233,"IQ_DAYS_PAYABLE_OUT",D$226,vd),""))</t>
        </r>
      </text>
    </comment>
    <comment ref="E233" authorId="0" shapeId="0" xr:uid="{9BB4C29F-421C-485C-9F67-9F40E4B865C3}">
      <text>
        <r>
          <rPr>
            <b/>
            <sz val="9"/>
            <color indexed="81"/>
            <rFont val="Tahoma"/>
            <family val="2"/>
          </rPr>
          <t>=IF($C233="","",IFERROR(CIQ($C233,"IQ_DAYS_PAYABLE_OUT",E$226,vd),""))</t>
        </r>
      </text>
    </comment>
    <comment ref="F233" authorId="0" shapeId="0" xr:uid="{319087BE-3760-4FFE-AF06-453F56413419}">
      <text>
        <r>
          <rPr>
            <b/>
            <sz val="9"/>
            <color indexed="81"/>
            <rFont val="Tahoma"/>
            <family val="2"/>
          </rPr>
          <t>=IF($C233="","",IFERROR(CIQ($C233,"IQ_DAYS_PAYABLE_OUT",F$226,vd),""))</t>
        </r>
      </text>
    </comment>
    <comment ref="G233" authorId="0" shapeId="0" xr:uid="{71B73B2A-1E12-4BB1-8B1C-EA289F4E7605}">
      <text>
        <r>
          <rPr>
            <b/>
            <sz val="9"/>
            <color indexed="81"/>
            <rFont val="Tahoma"/>
            <family val="2"/>
          </rPr>
          <t>=IF($C233="","",IFERROR(CIQ($C233,"IQ_DAYS_PAYABLE_OUT",G$226,vd),""))</t>
        </r>
      </text>
    </comment>
    <comment ref="H233" authorId="0" shapeId="0" xr:uid="{DEB843DF-4581-4E68-9AE5-9430A2249351}">
      <text>
        <r>
          <rPr>
            <b/>
            <sz val="9"/>
            <color indexed="81"/>
            <rFont val="Tahoma"/>
            <family val="2"/>
          </rPr>
          <t>=IF($C233="","",IFERROR(CIQ($C233,"IQ_DAYS_PAYABLE_OUT",H$226,vd),""))</t>
        </r>
      </text>
    </comment>
    <comment ref="I233" authorId="0" shapeId="0" xr:uid="{DD7D0E1E-B257-44EC-A005-87B4D0B1D76F}">
      <text>
        <r>
          <rPr>
            <b/>
            <sz val="9"/>
            <color indexed="81"/>
            <rFont val="Tahoma"/>
            <family val="2"/>
          </rPr>
          <t>=IF($C233="","",IFERROR(CIQ($C233,"IQ_DAYS_PAYABLE_OUT",I$226,vd),""))</t>
        </r>
      </text>
    </comment>
    <comment ref="J233" authorId="0" shapeId="0" xr:uid="{A168473A-5472-47D7-B08A-7243BF403DA6}">
      <text>
        <r>
          <rPr>
            <b/>
            <sz val="9"/>
            <color indexed="81"/>
            <rFont val="Tahoma"/>
            <family val="2"/>
          </rPr>
          <t>=IF($C233="","",IFERROR(CIQ($C233,"IQ_DAYS_PAYABLE_OUT",J$226,vd),""))</t>
        </r>
      </text>
    </comment>
    <comment ref="K233" authorId="0" shapeId="0" xr:uid="{A811DBD3-52C8-4ACD-AE38-01BC5162A6A1}">
      <text>
        <r>
          <rPr>
            <b/>
            <sz val="9"/>
            <color indexed="81"/>
            <rFont val="Tahoma"/>
            <family val="2"/>
          </rPr>
          <t>=IF($C233="","",IFERROR(CIQ($C233,"IQ_DAYS_PAYABLE_OUT",K$226,vd),""))</t>
        </r>
      </text>
    </comment>
    <comment ref="L233" authorId="0" shapeId="0" xr:uid="{AEFD9466-635B-45C2-9257-069A0536E883}">
      <text>
        <r>
          <rPr>
            <b/>
            <sz val="9"/>
            <color indexed="81"/>
            <rFont val="Tahoma"/>
            <family val="2"/>
          </rPr>
          <t>=IF($C233="","",IFERROR(CIQ($C233,"IQ_DAYS_PAYABLE_OUT",L$226,vd),""))</t>
        </r>
      </text>
    </comment>
    <comment ref="M233" authorId="0" shapeId="0" xr:uid="{5AD189DB-5904-4FC1-9880-8695C49017F8}">
      <text>
        <r>
          <rPr>
            <b/>
            <sz val="9"/>
            <color indexed="81"/>
            <rFont val="Tahoma"/>
            <family val="2"/>
          </rPr>
          <t>=IF($C233="","",IFERROR(CIQ($C233,"IQ_DAYS_PAYABLE_OUT",M$226,vd),""))</t>
        </r>
      </text>
    </comment>
    <comment ref="N233" authorId="0" shapeId="0" xr:uid="{7878C52E-9006-4A43-8A69-237AEDE85677}">
      <text>
        <r>
          <rPr>
            <b/>
            <sz val="9"/>
            <color indexed="81"/>
            <rFont val="Tahoma"/>
            <family val="2"/>
          </rPr>
          <t>=IF($C233="","",IFERROR(CIQ($C233,"IQ_DAYS_PAYABLE_OUT",N$226,vd),""))</t>
        </r>
      </text>
    </comment>
    <comment ref="D234" authorId="0" shapeId="0" xr:uid="{56E2604F-091E-4850-B76C-AE6518517F49}">
      <text>
        <r>
          <rPr>
            <b/>
            <sz val="9"/>
            <color indexed="81"/>
            <rFont val="Tahoma"/>
            <family val="2"/>
          </rPr>
          <t>=IF($C234="","",IFERROR(CIQ($C234,"IQ_DAYS_PAYABLE_OUT",D$226,vd),""))</t>
        </r>
      </text>
    </comment>
    <comment ref="E234" authorId="0" shapeId="0" xr:uid="{933BB872-F70B-4A3E-AAD2-E6B1D87556E0}">
      <text>
        <r>
          <rPr>
            <b/>
            <sz val="9"/>
            <color indexed="81"/>
            <rFont val="Tahoma"/>
            <family val="2"/>
          </rPr>
          <t>=IF($C234="","",IFERROR(CIQ($C234,"IQ_DAYS_PAYABLE_OUT",E$226,vd),""))</t>
        </r>
      </text>
    </comment>
    <comment ref="F234" authorId="0" shapeId="0" xr:uid="{ADAB9C3E-25BE-40DE-82FD-400CA4D0D036}">
      <text>
        <r>
          <rPr>
            <b/>
            <sz val="9"/>
            <color indexed="81"/>
            <rFont val="Tahoma"/>
            <family val="2"/>
          </rPr>
          <t>=IF($C234="","",IFERROR(CIQ($C234,"IQ_DAYS_PAYABLE_OUT",F$226,vd),""))</t>
        </r>
      </text>
    </comment>
    <comment ref="G234" authorId="0" shapeId="0" xr:uid="{EE25F878-DA04-4A3E-A139-E6FA1F63E3F5}">
      <text>
        <r>
          <rPr>
            <b/>
            <sz val="9"/>
            <color indexed="81"/>
            <rFont val="Tahoma"/>
            <family val="2"/>
          </rPr>
          <t>=IF($C234="","",IFERROR(CIQ($C234,"IQ_DAYS_PAYABLE_OUT",G$226,vd),""))</t>
        </r>
      </text>
    </comment>
    <comment ref="H234" authorId="0" shapeId="0" xr:uid="{F5174770-20D5-48E4-BF66-ED17D1A892EC}">
      <text>
        <r>
          <rPr>
            <b/>
            <sz val="9"/>
            <color indexed="81"/>
            <rFont val="Tahoma"/>
            <family val="2"/>
          </rPr>
          <t>=IF($C234="","",IFERROR(CIQ($C234,"IQ_DAYS_PAYABLE_OUT",H$226,vd),""))</t>
        </r>
      </text>
    </comment>
    <comment ref="I234" authorId="0" shapeId="0" xr:uid="{0BEF3216-FC9F-43F8-BE4C-829B9E2A9BC5}">
      <text>
        <r>
          <rPr>
            <b/>
            <sz val="9"/>
            <color indexed="81"/>
            <rFont val="Tahoma"/>
            <family val="2"/>
          </rPr>
          <t>=IF($C234="","",IFERROR(CIQ($C234,"IQ_DAYS_PAYABLE_OUT",I$226,vd),""))</t>
        </r>
      </text>
    </comment>
    <comment ref="J234" authorId="0" shapeId="0" xr:uid="{4E553112-797A-4473-A76D-126A11C794C3}">
      <text>
        <r>
          <rPr>
            <b/>
            <sz val="9"/>
            <color indexed="81"/>
            <rFont val="Tahoma"/>
            <family val="2"/>
          </rPr>
          <t>=IF($C234="","",IFERROR(CIQ($C234,"IQ_DAYS_PAYABLE_OUT",J$226,vd),""))</t>
        </r>
      </text>
    </comment>
    <comment ref="K234" authorId="0" shapeId="0" xr:uid="{8B1F903A-47D9-4F7F-835B-1CB2226AB52F}">
      <text>
        <r>
          <rPr>
            <b/>
            <sz val="9"/>
            <color indexed="81"/>
            <rFont val="Tahoma"/>
            <family val="2"/>
          </rPr>
          <t>=IF($C234="","",IFERROR(CIQ($C234,"IQ_DAYS_PAYABLE_OUT",K$226,vd),""))</t>
        </r>
      </text>
    </comment>
    <comment ref="L234" authorId="0" shapeId="0" xr:uid="{5A3FC903-B12B-4335-AA8E-77500DCE71D2}">
      <text>
        <r>
          <rPr>
            <b/>
            <sz val="9"/>
            <color indexed="81"/>
            <rFont val="Tahoma"/>
            <family val="2"/>
          </rPr>
          <t>=IF($C234="","",IFERROR(CIQ($C234,"IQ_DAYS_PAYABLE_OUT",L$226,vd),""))</t>
        </r>
      </text>
    </comment>
    <comment ref="M234" authorId="0" shapeId="0" xr:uid="{DCE2CA97-CDF9-45ED-A5EC-5684CF77080F}">
      <text>
        <r>
          <rPr>
            <b/>
            <sz val="9"/>
            <color indexed="81"/>
            <rFont val="Tahoma"/>
            <family val="2"/>
          </rPr>
          <t>=IF($C234="","",IFERROR(CIQ($C234,"IQ_DAYS_PAYABLE_OUT",M$226,vd),""))</t>
        </r>
      </text>
    </comment>
    <comment ref="N234" authorId="0" shapeId="0" xr:uid="{D150FAB0-0D95-463D-B431-938C9CD782AC}">
      <text>
        <r>
          <rPr>
            <b/>
            <sz val="9"/>
            <color indexed="81"/>
            <rFont val="Tahoma"/>
            <family val="2"/>
          </rPr>
          <t>=IF($C234="","",IFERROR(CIQ($C234,"IQ_DAYS_PAYABLE_OUT",N$226,vd),""))</t>
        </r>
      </text>
    </comment>
    <comment ref="D235" authorId="0" shapeId="0" xr:uid="{C1539873-6F7B-4222-BD48-CDD17A582884}">
      <text>
        <r>
          <rPr>
            <b/>
            <sz val="9"/>
            <color indexed="81"/>
            <rFont val="Tahoma"/>
            <family val="2"/>
          </rPr>
          <t>=IF($C235="","",IFERROR(CIQ($C235,"IQ_DAYS_PAYABLE_OUT",D$226,vd),""))</t>
        </r>
      </text>
    </comment>
    <comment ref="E235" authorId="0" shapeId="0" xr:uid="{43E3CE8B-427E-4B78-9A99-E7409DABAF41}">
      <text>
        <r>
          <rPr>
            <b/>
            <sz val="9"/>
            <color indexed="81"/>
            <rFont val="Tahoma"/>
            <family val="2"/>
          </rPr>
          <t>=IF($C235="","",IFERROR(CIQ($C235,"IQ_DAYS_PAYABLE_OUT",E$226,vd),""))</t>
        </r>
      </text>
    </comment>
    <comment ref="F235" authorId="0" shapeId="0" xr:uid="{339E8842-B451-42A4-8FC9-0C07BC5ACEE6}">
      <text>
        <r>
          <rPr>
            <b/>
            <sz val="9"/>
            <color indexed="81"/>
            <rFont val="Tahoma"/>
            <family val="2"/>
          </rPr>
          <t>=IF($C235="","",IFERROR(CIQ($C235,"IQ_DAYS_PAYABLE_OUT",F$226,vd),""))</t>
        </r>
      </text>
    </comment>
    <comment ref="G235" authorId="0" shapeId="0" xr:uid="{31A78C83-9627-4403-B524-816108AF7452}">
      <text>
        <r>
          <rPr>
            <b/>
            <sz val="9"/>
            <color indexed="81"/>
            <rFont val="Tahoma"/>
            <family val="2"/>
          </rPr>
          <t>=IF($C235="","",IFERROR(CIQ($C235,"IQ_DAYS_PAYABLE_OUT",G$226,vd),""))</t>
        </r>
      </text>
    </comment>
    <comment ref="H235" authorId="0" shapeId="0" xr:uid="{97E2A49D-3A9C-4CCD-9695-DC2987B471CD}">
      <text>
        <r>
          <rPr>
            <b/>
            <sz val="9"/>
            <color indexed="81"/>
            <rFont val="Tahoma"/>
            <family val="2"/>
          </rPr>
          <t>=IF($C235="","",IFERROR(CIQ($C235,"IQ_DAYS_PAYABLE_OUT",H$226,vd),""))</t>
        </r>
      </text>
    </comment>
    <comment ref="I235" authorId="0" shapeId="0" xr:uid="{1D057EBB-D6E1-46DC-BB69-B9BBC3B83A86}">
      <text>
        <r>
          <rPr>
            <b/>
            <sz val="9"/>
            <color indexed="81"/>
            <rFont val="Tahoma"/>
            <family val="2"/>
          </rPr>
          <t>=IF($C235="","",IFERROR(CIQ($C235,"IQ_DAYS_PAYABLE_OUT",I$226,vd),""))</t>
        </r>
      </text>
    </comment>
    <comment ref="J235" authorId="0" shapeId="0" xr:uid="{85994954-85D0-45F5-9074-81351433030F}">
      <text>
        <r>
          <rPr>
            <b/>
            <sz val="9"/>
            <color indexed="81"/>
            <rFont val="Tahoma"/>
            <family val="2"/>
          </rPr>
          <t>=IF($C235="","",IFERROR(CIQ($C235,"IQ_DAYS_PAYABLE_OUT",J$226,vd),""))</t>
        </r>
      </text>
    </comment>
    <comment ref="K235" authorId="0" shapeId="0" xr:uid="{44D988E2-7018-4AB9-A12F-5B1616B63F4E}">
      <text>
        <r>
          <rPr>
            <b/>
            <sz val="9"/>
            <color indexed="81"/>
            <rFont val="Tahoma"/>
            <family val="2"/>
          </rPr>
          <t>=IF($C235="","",IFERROR(CIQ($C235,"IQ_DAYS_PAYABLE_OUT",K$226,vd),""))</t>
        </r>
      </text>
    </comment>
    <comment ref="L235" authorId="0" shapeId="0" xr:uid="{5BF68B65-39F7-47BA-BD89-C88B7AD8755A}">
      <text>
        <r>
          <rPr>
            <b/>
            <sz val="9"/>
            <color indexed="81"/>
            <rFont val="Tahoma"/>
            <family val="2"/>
          </rPr>
          <t>=IF($C235="","",IFERROR(CIQ($C235,"IQ_DAYS_PAYABLE_OUT",L$226,vd),""))</t>
        </r>
      </text>
    </comment>
    <comment ref="M235" authorId="0" shapeId="0" xr:uid="{C6DD5DE3-6461-44B7-AB9D-137D8873EB8C}">
      <text>
        <r>
          <rPr>
            <b/>
            <sz val="9"/>
            <color indexed="81"/>
            <rFont val="Tahoma"/>
            <family val="2"/>
          </rPr>
          <t>=IF($C235="","",IFERROR(CIQ($C235,"IQ_DAYS_PAYABLE_OUT",M$226,vd),""))</t>
        </r>
      </text>
    </comment>
    <comment ref="N235" authorId="0" shapeId="0" xr:uid="{0993BE9A-FFC4-4360-847D-75619CE79E10}">
      <text>
        <r>
          <rPr>
            <b/>
            <sz val="9"/>
            <color indexed="81"/>
            <rFont val="Tahoma"/>
            <family val="2"/>
          </rPr>
          <t>=IF($C235="","",IFERROR(CIQ($C235,"IQ_DAYS_PAYABLE_OUT",N$226,vd),""))</t>
        </r>
      </text>
    </comment>
    <comment ref="D236" authorId="0" shapeId="0" xr:uid="{BA374420-76F8-409D-AC48-B7B5AC5CD22C}">
      <text>
        <r>
          <rPr>
            <b/>
            <sz val="9"/>
            <color indexed="81"/>
            <rFont val="Tahoma"/>
            <family val="2"/>
          </rPr>
          <t>=IF($C236="","",IFERROR(CIQ($C236,"IQ_DAYS_PAYABLE_OUT",D$226,vd),""))</t>
        </r>
      </text>
    </comment>
    <comment ref="E236" authorId="0" shapeId="0" xr:uid="{01454B53-D638-465E-9A8B-C8F5E328F7D0}">
      <text>
        <r>
          <rPr>
            <b/>
            <sz val="9"/>
            <color indexed="81"/>
            <rFont val="Tahoma"/>
            <family val="2"/>
          </rPr>
          <t>=IF($C236="","",IFERROR(CIQ($C236,"IQ_DAYS_PAYABLE_OUT",E$226,vd),""))</t>
        </r>
      </text>
    </comment>
    <comment ref="F236" authorId="0" shapeId="0" xr:uid="{C4D26BDB-7548-40EA-B256-95CFBF76AF07}">
      <text>
        <r>
          <rPr>
            <b/>
            <sz val="9"/>
            <color indexed="81"/>
            <rFont val="Tahoma"/>
            <family val="2"/>
          </rPr>
          <t>=IF($C236="","",IFERROR(CIQ($C236,"IQ_DAYS_PAYABLE_OUT",F$226,vd),""))</t>
        </r>
      </text>
    </comment>
    <comment ref="G236" authorId="0" shapeId="0" xr:uid="{E868FD1E-C1B1-41DC-BC4E-F2311D83B554}">
      <text>
        <r>
          <rPr>
            <b/>
            <sz val="9"/>
            <color indexed="81"/>
            <rFont val="Tahoma"/>
            <family val="2"/>
          </rPr>
          <t>=IF($C236="","",IFERROR(CIQ($C236,"IQ_DAYS_PAYABLE_OUT",G$226,vd),""))</t>
        </r>
      </text>
    </comment>
    <comment ref="H236" authorId="0" shapeId="0" xr:uid="{A5FB8D9E-9892-4CDD-AB2F-253E13261F76}">
      <text>
        <r>
          <rPr>
            <b/>
            <sz val="9"/>
            <color indexed="81"/>
            <rFont val="Tahoma"/>
            <family val="2"/>
          </rPr>
          <t>=IF($C236="","",IFERROR(CIQ($C236,"IQ_DAYS_PAYABLE_OUT",H$226,vd),""))</t>
        </r>
      </text>
    </comment>
    <comment ref="I236" authorId="0" shapeId="0" xr:uid="{5F5993C7-E2C2-4615-9E72-08BAD42F4E9F}">
      <text>
        <r>
          <rPr>
            <b/>
            <sz val="9"/>
            <color indexed="81"/>
            <rFont val="Tahoma"/>
            <family val="2"/>
          </rPr>
          <t>=IF($C236="","",IFERROR(CIQ($C236,"IQ_DAYS_PAYABLE_OUT",I$226,vd),""))</t>
        </r>
      </text>
    </comment>
    <comment ref="J236" authorId="0" shapeId="0" xr:uid="{E0997032-9E8D-43CB-BAD8-D6B18F8001F1}">
      <text>
        <r>
          <rPr>
            <b/>
            <sz val="9"/>
            <color indexed="81"/>
            <rFont val="Tahoma"/>
            <family val="2"/>
          </rPr>
          <t>=IF($C236="","",IFERROR(CIQ($C236,"IQ_DAYS_PAYABLE_OUT",J$226,vd),""))</t>
        </r>
      </text>
    </comment>
    <comment ref="K236" authorId="0" shapeId="0" xr:uid="{CA49378A-F782-41A4-8525-EFABBE873922}">
      <text>
        <r>
          <rPr>
            <b/>
            <sz val="9"/>
            <color indexed="81"/>
            <rFont val="Tahoma"/>
            <family val="2"/>
          </rPr>
          <t>=IF($C236="","",IFERROR(CIQ($C236,"IQ_DAYS_PAYABLE_OUT",K$226,vd),""))</t>
        </r>
      </text>
    </comment>
    <comment ref="L236" authorId="0" shapeId="0" xr:uid="{D8E593A0-59D2-45BC-A89B-4F1D1002E8FC}">
      <text>
        <r>
          <rPr>
            <b/>
            <sz val="9"/>
            <color indexed="81"/>
            <rFont val="Tahoma"/>
            <family val="2"/>
          </rPr>
          <t>=IF($C236="","",IFERROR(CIQ($C236,"IQ_DAYS_PAYABLE_OUT",L$226,vd),""))</t>
        </r>
      </text>
    </comment>
    <comment ref="M236" authorId="0" shapeId="0" xr:uid="{B94B3FD4-0C6E-47C8-A28B-FCCDC2B948C8}">
      <text>
        <r>
          <rPr>
            <b/>
            <sz val="9"/>
            <color indexed="81"/>
            <rFont val="Tahoma"/>
            <family val="2"/>
          </rPr>
          <t>=IF($C236="","",IFERROR(CIQ($C236,"IQ_DAYS_PAYABLE_OUT",M$226,vd),""))</t>
        </r>
      </text>
    </comment>
    <comment ref="N236" authorId="0" shapeId="0" xr:uid="{459537E8-C196-4F1B-AC51-CF357570EFCC}">
      <text>
        <r>
          <rPr>
            <b/>
            <sz val="9"/>
            <color indexed="81"/>
            <rFont val="Tahoma"/>
            <family val="2"/>
          </rPr>
          <t>=IF($C236="","",IFERROR(CIQ($C236,"IQ_DAYS_PAYABLE_OUT",N$226,vd),""))</t>
        </r>
      </text>
    </comment>
    <comment ref="D237" authorId="0" shapeId="0" xr:uid="{F794E040-1536-42A7-9E71-15A8B22F315F}">
      <text>
        <r>
          <rPr>
            <b/>
            <sz val="9"/>
            <color indexed="81"/>
            <rFont val="Tahoma"/>
            <family val="2"/>
          </rPr>
          <t>=IF($C237="","",IFERROR(CIQ($C237,"IQ_DAYS_PAYABLE_OUT",D$226,vd),""))</t>
        </r>
      </text>
    </comment>
    <comment ref="E237" authorId="0" shapeId="0" xr:uid="{DBFA74FE-A75F-438B-BFD0-32BD62E6937C}">
      <text>
        <r>
          <rPr>
            <b/>
            <sz val="9"/>
            <color indexed="81"/>
            <rFont val="Tahoma"/>
            <family val="2"/>
          </rPr>
          <t>=IF($C237="","",IFERROR(CIQ($C237,"IQ_DAYS_PAYABLE_OUT",E$226,vd),""))</t>
        </r>
      </text>
    </comment>
    <comment ref="F237" authorId="0" shapeId="0" xr:uid="{4520D1D5-3EF9-4661-8617-7F7B132518C7}">
      <text>
        <r>
          <rPr>
            <b/>
            <sz val="9"/>
            <color indexed="81"/>
            <rFont val="Tahoma"/>
            <family val="2"/>
          </rPr>
          <t>=IF($C237="","",IFERROR(CIQ($C237,"IQ_DAYS_PAYABLE_OUT",F$226,vd),""))</t>
        </r>
      </text>
    </comment>
    <comment ref="G237" authorId="0" shapeId="0" xr:uid="{654E27F8-E13E-4FA7-AA02-6FC621B8E5B7}">
      <text>
        <r>
          <rPr>
            <b/>
            <sz val="9"/>
            <color indexed="81"/>
            <rFont val="Tahoma"/>
            <family val="2"/>
          </rPr>
          <t>=IF($C237="","",IFERROR(CIQ($C237,"IQ_DAYS_PAYABLE_OUT",G$226,vd),""))</t>
        </r>
      </text>
    </comment>
    <comment ref="H237" authorId="0" shapeId="0" xr:uid="{30EE001F-2E0B-4B98-AA95-93D59023E5F2}">
      <text>
        <r>
          <rPr>
            <b/>
            <sz val="9"/>
            <color indexed="81"/>
            <rFont val="Tahoma"/>
            <family val="2"/>
          </rPr>
          <t>=IF($C237="","",IFERROR(CIQ($C237,"IQ_DAYS_PAYABLE_OUT",H$226,vd),""))</t>
        </r>
      </text>
    </comment>
    <comment ref="I237" authorId="0" shapeId="0" xr:uid="{D8B5B5FA-F3F0-4B2C-9777-8107FE7ABE3C}">
      <text>
        <r>
          <rPr>
            <b/>
            <sz val="9"/>
            <color indexed="81"/>
            <rFont val="Tahoma"/>
            <family val="2"/>
          </rPr>
          <t>=IF($C237="","",IFERROR(CIQ($C237,"IQ_DAYS_PAYABLE_OUT",I$226,vd),""))</t>
        </r>
      </text>
    </comment>
    <comment ref="J237" authorId="0" shapeId="0" xr:uid="{1C344FEA-AED7-475F-971E-2F1B97F07D17}">
      <text>
        <r>
          <rPr>
            <b/>
            <sz val="9"/>
            <color indexed="81"/>
            <rFont val="Tahoma"/>
            <family val="2"/>
          </rPr>
          <t>=IF($C237="","",IFERROR(CIQ($C237,"IQ_DAYS_PAYABLE_OUT",J$226,vd),""))</t>
        </r>
      </text>
    </comment>
    <comment ref="K237" authorId="0" shapeId="0" xr:uid="{412B8378-219A-4B19-9D09-31582FDF7CEF}">
      <text>
        <r>
          <rPr>
            <b/>
            <sz val="9"/>
            <color indexed="81"/>
            <rFont val="Tahoma"/>
            <family val="2"/>
          </rPr>
          <t>=IF($C237="","",IFERROR(CIQ($C237,"IQ_DAYS_PAYABLE_OUT",K$226,vd),""))</t>
        </r>
      </text>
    </comment>
    <comment ref="L237" authorId="0" shapeId="0" xr:uid="{74E8CFF1-5F19-4B9B-88EC-84006A0246E4}">
      <text>
        <r>
          <rPr>
            <b/>
            <sz val="9"/>
            <color indexed="81"/>
            <rFont val="Tahoma"/>
            <family val="2"/>
          </rPr>
          <t>=IF($C237="","",IFERROR(CIQ($C237,"IQ_DAYS_PAYABLE_OUT",L$226,vd),""))</t>
        </r>
      </text>
    </comment>
    <comment ref="M237" authorId="0" shapeId="0" xr:uid="{F77CB53F-3281-474A-9F65-6DF16D22D080}">
      <text>
        <r>
          <rPr>
            <b/>
            <sz val="9"/>
            <color indexed="81"/>
            <rFont val="Tahoma"/>
            <family val="2"/>
          </rPr>
          <t>=IF($C237="","",IFERROR(CIQ($C237,"IQ_DAYS_PAYABLE_OUT",M$226,vd),""))</t>
        </r>
      </text>
    </comment>
    <comment ref="N237" authorId="0" shapeId="0" xr:uid="{6882B92C-BB9A-4DDA-BA4B-3F018CB5A66B}">
      <text>
        <r>
          <rPr>
            <b/>
            <sz val="9"/>
            <color indexed="81"/>
            <rFont val="Tahoma"/>
            <family val="2"/>
          </rPr>
          <t>=IF($C237="","",IFERROR(CIQ($C237,"IQ_DAYS_PAYABLE_OUT",N$226,vd),""))</t>
        </r>
      </text>
    </comment>
    <comment ref="D238" authorId="0" shapeId="0" xr:uid="{A051C792-D3E4-4AF3-A8C2-FED9478D7129}">
      <text>
        <r>
          <rPr>
            <b/>
            <sz val="9"/>
            <color indexed="81"/>
            <rFont val="Tahoma"/>
            <family val="2"/>
          </rPr>
          <t>=IF($C238="","",IFERROR(CIQ($C238,"IQ_DAYS_PAYABLE_OUT",D$226,vd),""))</t>
        </r>
      </text>
    </comment>
    <comment ref="E238" authorId="0" shapeId="0" xr:uid="{3BF57AF9-AEA6-4860-BA2C-9BD609D5BF6C}">
      <text>
        <r>
          <rPr>
            <b/>
            <sz val="9"/>
            <color indexed="81"/>
            <rFont val="Tahoma"/>
            <family val="2"/>
          </rPr>
          <t>=IF($C238="","",IFERROR(CIQ($C238,"IQ_DAYS_PAYABLE_OUT",E$226,vd),""))</t>
        </r>
      </text>
    </comment>
    <comment ref="F238" authorId="0" shapeId="0" xr:uid="{FB51A6D3-89DE-43AF-8809-5B81D4D9A4C7}">
      <text>
        <r>
          <rPr>
            <b/>
            <sz val="9"/>
            <color indexed="81"/>
            <rFont val="Tahoma"/>
            <family val="2"/>
          </rPr>
          <t>=IF($C238="","",IFERROR(CIQ($C238,"IQ_DAYS_PAYABLE_OUT",F$226,vd),""))</t>
        </r>
      </text>
    </comment>
    <comment ref="G238" authorId="0" shapeId="0" xr:uid="{F46E9DAB-67B3-4AE0-8342-D15A1321F827}">
      <text>
        <r>
          <rPr>
            <b/>
            <sz val="9"/>
            <color indexed="81"/>
            <rFont val="Tahoma"/>
            <family val="2"/>
          </rPr>
          <t>=IF($C238="","",IFERROR(CIQ($C238,"IQ_DAYS_PAYABLE_OUT",G$226,vd),""))</t>
        </r>
      </text>
    </comment>
    <comment ref="H238" authorId="0" shapeId="0" xr:uid="{6982CE70-3101-414E-AE7A-51F0E75E96BA}">
      <text>
        <r>
          <rPr>
            <b/>
            <sz val="9"/>
            <color indexed="81"/>
            <rFont val="Tahoma"/>
            <family val="2"/>
          </rPr>
          <t>=IF($C238="","",IFERROR(CIQ($C238,"IQ_DAYS_PAYABLE_OUT",H$226,vd),""))</t>
        </r>
      </text>
    </comment>
    <comment ref="I238" authorId="0" shapeId="0" xr:uid="{5E0C07AF-142C-4397-A161-DAEDD9FA3A65}">
      <text>
        <r>
          <rPr>
            <b/>
            <sz val="9"/>
            <color indexed="81"/>
            <rFont val="Tahoma"/>
            <family val="2"/>
          </rPr>
          <t>=IF($C238="","",IFERROR(CIQ($C238,"IQ_DAYS_PAYABLE_OUT",I$226,vd),""))</t>
        </r>
      </text>
    </comment>
    <comment ref="J238" authorId="0" shapeId="0" xr:uid="{38EB03EE-ECFE-4B90-85D5-F075788A6D7C}">
      <text>
        <r>
          <rPr>
            <b/>
            <sz val="9"/>
            <color indexed="81"/>
            <rFont val="Tahoma"/>
            <family val="2"/>
          </rPr>
          <t>=IF($C238="","",IFERROR(CIQ($C238,"IQ_DAYS_PAYABLE_OUT",J$226,vd),""))</t>
        </r>
      </text>
    </comment>
    <comment ref="K238" authorId="0" shapeId="0" xr:uid="{F02DD337-F08D-4BCA-AFCF-C4CC01EA1993}">
      <text>
        <r>
          <rPr>
            <b/>
            <sz val="9"/>
            <color indexed="81"/>
            <rFont val="Tahoma"/>
            <family val="2"/>
          </rPr>
          <t>=IF($C238="","",IFERROR(CIQ($C238,"IQ_DAYS_PAYABLE_OUT",K$226,vd),""))</t>
        </r>
      </text>
    </comment>
    <comment ref="L238" authorId="0" shapeId="0" xr:uid="{8B23BE24-3123-4268-B7B6-EA2C4419F5C1}">
      <text>
        <r>
          <rPr>
            <b/>
            <sz val="9"/>
            <color indexed="81"/>
            <rFont val="Tahoma"/>
            <family val="2"/>
          </rPr>
          <t>=IF($C238="","",IFERROR(CIQ($C238,"IQ_DAYS_PAYABLE_OUT",L$226,vd),""))</t>
        </r>
      </text>
    </comment>
    <comment ref="M238" authorId="0" shapeId="0" xr:uid="{572E9C1C-3E1A-4BF4-AE30-1BC869311471}">
      <text>
        <r>
          <rPr>
            <b/>
            <sz val="9"/>
            <color indexed="81"/>
            <rFont val="Tahoma"/>
            <family val="2"/>
          </rPr>
          <t>=IF($C238="","",IFERROR(CIQ($C238,"IQ_DAYS_PAYABLE_OUT",M$226,vd),""))</t>
        </r>
      </text>
    </comment>
    <comment ref="N238" authorId="0" shapeId="0" xr:uid="{590D4EDC-A20C-4D4F-BD39-96FA4C9C6F9D}">
      <text>
        <r>
          <rPr>
            <b/>
            <sz val="9"/>
            <color indexed="81"/>
            <rFont val="Tahoma"/>
            <family val="2"/>
          </rPr>
          <t>=IF($C238="","",IFERROR(CIQ($C238,"IQ_DAYS_PAYABLE_OUT",N$226,vd),""))</t>
        </r>
      </text>
    </comment>
    <comment ref="D239" authorId="0" shapeId="0" xr:uid="{00154947-59DD-40F6-96E8-8045F4EE7622}">
      <text>
        <r>
          <rPr>
            <b/>
            <sz val="9"/>
            <color indexed="81"/>
            <rFont val="Tahoma"/>
            <family val="2"/>
          </rPr>
          <t>=IF($C239="","",IFERROR(CIQ($C239,"IQ_DAYS_PAYABLE_OUT",D$226,vd),""))</t>
        </r>
      </text>
    </comment>
    <comment ref="E239" authorId="0" shapeId="0" xr:uid="{8C695318-9047-46C3-9410-2866BE02CDF3}">
      <text>
        <r>
          <rPr>
            <b/>
            <sz val="9"/>
            <color indexed="81"/>
            <rFont val="Tahoma"/>
            <family val="2"/>
          </rPr>
          <t>=IF($C239="","",IFERROR(CIQ($C239,"IQ_DAYS_PAYABLE_OUT",E$226,vd),""))</t>
        </r>
      </text>
    </comment>
    <comment ref="F239" authorId="0" shapeId="0" xr:uid="{322B42E6-4C26-4D5F-94FD-F489C8A06195}">
      <text>
        <r>
          <rPr>
            <b/>
            <sz val="9"/>
            <color indexed="81"/>
            <rFont val="Tahoma"/>
            <family val="2"/>
          </rPr>
          <t>=IF($C239="","",IFERROR(CIQ($C239,"IQ_DAYS_PAYABLE_OUT",F$226,vd),""))</t>
        </r>
      </text>
    </comment>
    <comment ref="G239" authorId="0" shapeId="0" xr:uid="{4F35F7C3-08BE-4139-9271-37CA08F224EF}">
      <text>
        <r>
          <rPr>
            <b/>
            <sz val="9"/>
            <color indexed="81"/>
            <rFont val="Tahoma"/>
            <family val="2"/>
          </rPr>
          <t>=IF($C239="","",IFERROR(CIQ($C239,"IQ_DAYS_PAYABLE_OUT",G$226,vd),""))</t>
        </r>
      </text>
    </comment>
    <comment ref="H239" authorId="0" shapeId="0" xr:uid="{8671C22E-FD6E-4D8C-8D21-36C4ACDF9CEF}">
      <text>
        <r>
          <rPr>
            <b/>
            <sz val="9"/>
            <color indexed="81"/>
            <rFont val="Tahoma"/>
            <family val="2"/>
          </rPr>
          <t>=IF($C239="","",IFERROR(CIQ($C239,"IQ_DAYS_PAYABLE_OUT",H$226,vd),""))</t>
        </r>
      </text>
    </comment>
    <comment ref="I239" authorId="0" shapeId="0" xr:uid="{BD6DEFBE-227D-4A09-A4A2-23570B670BD8}">
      <text>
        <r>
          <rPr>
            <b/>
            <sz val="9"/>
            <color indexed="81"/>
            <rFont val="Tahoma"/>
            <family val="2"/>
          </rPr>
          <t>=IF($C239="","",IFERROR(CIQ($C239,"IQ_DAYS_PAYABLE_OUT",I$226,vd),""))</t>
        </r>
      </text>
    </comment>
    <comment ref="J239" authorId="0" shapeId="0" xr:uid="{A4417EFA-3236-4B01-B0F4-F0752A4D936C}">
      <text>
        <r>
          <rPr>
            <b/>
            <sz val="9"/>
            <color indexed="81"/>
            <rFont val="Tahoma"/>
            <family val="2"/>
          </rPr>
          <t>=IF($C239="","",IFERROR(CIQ($C239,"IQ_DAYS_PAYABLE_OUT",J$226,vd),""))</t>
        </r>
      </text>
    </comment>
    <comment ref="K239" authorId="0" shapeId="0" xr:uid="{1D1CF857-D80F-4900-B335-C2349CFE28EF}">
      <text>
        <r>
          <rPr>
            <b/>
            <sz val="9"/>
            <color indexed="81"/>
            <rFont val="Tahoma"/>
            <family val="2"/>
          </rPr>
          <t>=IF($C239="","",IFERROR(CIQ($C239,"IQ_DAYS_PAYABLE_OUT",K$226,vd),""))</t>
        </r>
      </text>
    </comment>
    <comment ref="L239" authorId="0" shapeId="0" xr:uid="{87E2651E-74DD-4516-BECB-B5DCB19AD377}">
      <text>
        <r>
          <rPr>
            <b/>
            <sz val="9"/>
            <color indexed="81"/>
            <rFont val="Tahoma"/>
            <family val="2"/>
          </rPr>
          <t>=IF($C239="","",IFERROR(CIQ($C239,"IQ_DAYS_PAYABLE_OUT",L$226,vd),""))</t>
        </r>
      </text>
    </comment>
    <comment ref="M239" authorId="0" shapeId="0" xr:uid="{F2CF64A5-0E72-48BA-A7C0-71E80146780F}">
      <text>
        <r>
          <rPr>
            <b/>
            <sz val="9"/>
            <color indexed="81"/>
            <rFont val="Tahoma"/>
            <family val="2"/>
          </rPr>
          <t>=IF($C239="","",IFERROR(CIQ($C239,"IQ_DAYS_PAYABLE_OUT",M$226,vd),""))</t>
        </r>
      </text>
    </comment>
    <comment ref="N239" authorId="0" shapeId="0" xr:uid="{11C5732C-F020-41D5-AEE4-168E0EA5A129}">
      <text>
        <r>
          <rPr>
            <b/>
            <sz val="9"/>
            <color indexed="81"/>
            <rFont val="Tahoma"/>
            <family val="2"/>
          </rPr>
          <t>=IF($C239="","",IFERROR(CIQ($C239,"IQ_DAYS_PAYABLE_OUT",N$226,vd),""))</t>
        </r>
      </text>
    </comment>
    <comment ref="D240" authorId="0" shapeId="0" xr:uid="{ED36CF08-C15F-4877-B29F-B75BC8D99A53}">
      <text>
        <r>
          <rPr>
            <b/>
            <sz val="9"/>
            <color indexed="81"/>
            <rFont val="Tahoma"/>
            <family val="2"/>
          </rPr>
          <t>=IF($C240="","",IFERROR(CIQ($C240,"IQ_DAYS_PAYABLE_OUT",D$226,vd),""))</t>
        </r>
      </text>
    </comment>
    <comment ref="E240" authorId="0" shapeId="0" xr:uid="{5BC225EA-DFD3-4F36-B4AA-2477DAC8EBF2}">
      <text>
        <r>
          <rPr>
            <b/>
            <sz val="9"/>
            <color indexed="81"/>
            <rFont val="Tahoma"/>
            <family val="2"/>
          </rPr>
          <t>=IF($C240="","",IFERROR(CIQ($C240,"IQ_DAYS_PAYABLE_OUT",E$226,vd),""))</t>
        </r>
      </text>
    </comment>
    <comment ref="F240" authorId="0" shapeId="0" xr:uid="{3C403237-F38C-4AC5-93D1-897853221F1F}">
      <text>
        <r>
          <rPr>
            <b/>
            <sz val="9"/>
            <color indexed="81"/>
            <rFont val="Tahoma"/>
            <family val="2"/>
          </rPr>
          <t>=IF($C240="","",IFERROR(CIQ($C240,"IQ_DAYS_PAYABLE_OUT",F$226,vd),""))</t>
        </r>
      </text>
    </comment>
    <comment ref="G240" authorId="0" shapeId="0" xr:uid="{BADF2750-5D84-4B43-A1FA-05DF592D96F5}">
      <text>
        <r>
          <rPr>
            <b/>
            <sz val="9"/>
            <color indexed="81"/>
            <rFont val="Tahoma"/>
            <family val="2"/>
          </rPr>
          <t>=IF($C240="","",IFERROR(CIQ($C240,"IQ_DAYS_PAYABLE_OUT",G$226,vd),""))</t>
        </r>
      </text>
    </comment>
    <comment ref="H240" authorId="0" shapeId="0" xr:uid="{3AE75745-4293-49ED-B65C-EDF4EDACDB8A}">
      <text>
        <r>
          <rPr>
            <b/>
            <sz val="9"/>
            <color indexed="81"/>
            <rFont val="Tahoma"/>
            <family val="2"/>
          </rPr>
          <t>=IF($C240="","",IFERROR(CIQ($C240,"IQ_DAYS_PAYABLE_OUT",H$226,vd),""))</t>
        </r>
      </text>
    </comment>
    <comment ref="I240" authorId="0" shapeId="0" xr:uid="{C6459DC4-6DC6-4FEA-8492-5F4F95B47654}">
      <text>
        <r>
          <rPr>
            <b/>
            <sz val="9"/>
            <color indexed="81"/>
            <rFont val="Tahoma"/>
            <family val="2"/>
          </rPr>
          <t>=IF($C240="","",IFERROR(CIQ($C240,"IQ_DAYS_PAYABLE_OUT",I$226,vd),""))</t>
        </r>
      </text>
    </comment>
    <comment ref="J240" authorId="0" shapeId="0" xr:uid="{A1E47DAB-A0B0-4AF9-8ED3-6E9957075032}">
      <text>
        <r>
          <rPr>
            <b/>
            <sz val="9"/>
            <color indexed="81"/>
            <rFont val="Tahoma"/>
            <family val="2"/>
          </rPr>
          <t>=IF($C240="","",IFERROR(CIQ($C240,"IQ_DAYS_PAYABLE_OUT",J$226,vd),""))</t>
        </r>
      </text>
    </comment>
    <comment ref="K240" authorId="0" shapeId="0" xr:uid="{F5AD147C-56A7-40AD-9E44-9098116797F2}">
      <text>
        <r>
          <rPr>
            <b/>
            <sz val="9"/>
            <color indexed="81"/>
            <rFont val="Tahoma"/>
            <family val="2"/>
          </rPr>
          <t>=IF($C240="","",IFERROR(CIQ($C240,"IQ_DAYS_PAYABLE_OUT",K$226,vd),""))</t>
        </r>
      </text>
    </comment>
    <comment ref="L240" authorId="0" shapeId="0" xr:uid="{7D303AE1-39E2-4748-9FDD-0254856877B1}">
      <text>
        <r>
          <rPr>
            <b/>
            <sz val="9"/>
            <color indexed="81"/>
            <rFont val="Tahoma"/>
            <family val="2"/>
          </rPr>
          <t>=IF($C240="","",IFERROR(CIQ($C240,"IQ_DAYS_PAYABLE_OUT",L$226,vd),""))</t>
        </r>
      </text>
    </comment>
    <comment ref="M240" authorId="0" shapeId="0" xr:uid="{04BE8214-251F-4723-A4E7-63859DAF1E35}">
      <text>
        <r>
          <rPr>
            <b/>
            <sz val="9"/>
            <color indexed="81"/>
            <rFont val="Tahoma"/>
            <family val="2"/>
          </rPr>
          <t>=IF($C240="","",IFERROR(CIQ($C240,"IQ_DAYS_PAYABLE_OUT",M$226,vd),""))</t>
        </r>
      </text>
    </comment>
    <comment ref="N240" authorId="0" shapeId="0" xr:uid="{5497924C-E136-466F-8D75-34D51DD336CB}">
      <text>
        <r>
          <rPr>
            <b/>
            <sz val="9"/>
            <color indexed="81"/>
            <rFont val="Tahoma"/>
            <family val="2"/>
          </rPr>
          <t>=IF($C240="","",IFERROR(CIQ($C240,"IQ_DAYS_PAYABLE_OUT",N$226,vd),""))</t>
        </r>
      </text>
    </comment>
    <comment ref="D241" authorId="0" shapeId="0" xr:uid="{DCCC374D-B211-4131-B8C8-3AE49A2A0584}">
      <text>
        <r>
          <rPr>
            <b/>
            <sz val="9"/>
            <color indexed="81"/>
            <rFont val="Tahoma"/>
            <family val="2"/>
          </rPr>
          <t>=IF($C241="","",IFERROR(CIQ($C241,"IQ_DAYS_PAYABLE_OUT",D$226,vd),""))</t>
        </r>
      </text>
    </comment>
    <comment ref="E241" authorId="0" shapeId="0" xr:uid="{7BA64DFC-D124-41B1-9DD9-B15897B7D19C}">
      <text>
        <r>
          <rPr>
            <b/>
            <sz val="9"/>
            <color indexed="81"/>
            <rFont val="Tahoma"/>
            <family val="2"/>
          </rPr>
          <t>=IF($C241="","",IFERROR(CIQ($C241,"IQ_DAYS_PAYABLE_OUT",E$226,vd),""))</t>
        </r>
      </text>
    </comment>
    <comment ref="F241" authorId="0" shapeId="0" xr:uid="{FC4C3773-AA8C-4E56-BAC3-4253CFECA7C1}">
      <text>
        <r>
          <rPr>
            <b/>
            <sz val="9"/>
            <color indexed="81"/>
            <rFont val="Tahoma"/>
            <family val="2"/>
          </rPr>
          <t>=IF($C241="","",IFERROR(CIQ($C241,"IQ_DAYS_PAYABLE_OUT",F$226,vd),""))</t>
        </r>
      </text>
    </comment>
    <comment ref="G241" authorId="0" shapeId="0" xr:uid="{10A42AA3-257F-468A-A415-E69041FBF6E3}">
      <text>
        <r>
          <rPr>
            <b/>
            <sz val="9"/>
            <color indexed="81"/>
            <rFont val="Tahoma"/>
            <family val="2"/>
          </rPr>
          <t>=IF($C241="","",IFERROR(CIQ($C241,"IQ_DAYS_PAYABLE_OUT",G$226,vd),""))</t>
        </r>
      </text>
    </comment>
    <comment ref="H241" authorId="0" shapeId="0" xr:uid="{396D42CE-B751-48EF-B5B0-797476F22324}">
      <text>
        <r>
          <rPr>
            <b/>
            <sz val="9"/>
            <color indexed="81"/>
            <rFont val="Tahoma"/>
            <family val="2"/>
          </rPr>
          <t>=IF($C241="","",IFERROR(CIQ($C241,"IQ_DAYS_PAYABLE_OUT",H$226,vd),""))</t>
        </r>
      </text>
    </comment>
    <comment ref="I241" authorId="0" shapeId="0" xr:uid="{CD28968B-B50F-4E7D-819A-136ECB4958FE}">
      <text>
        <r>
          <rPr>
            <b/>
            <sz val="9"/>
            <color indexed="81"/>
            <rFont val="Tahoma"/>
            <family val="2"/>
          </rPr>
          <t>=IF($C241="","",IFERROR(CIQ($C241,"IQ_DAYS_PAYABLE_OUT",I$226,vd),""))</t>
        </r>
      </text>
    </comment>
    <comment ref="J241" authorId="0" shapeId="0" xr:uid="{DA2A90A2-3D7E-47AF-8272-7F4406827DD8}">
      <text>
        <r>
          <rPr>
            <b/>
            <sz val="9"/>
            <color indexed="81"/>
            <rFont val="Tahoma"/>
            <family val="2"/>
          </rPr>
          <t>=IF($C241="","",IFERROR(CIQ($C241,"IQ_DAYS_PAYABLE_OUT",J$226,vd),""))</t>
        </r>
      </text>
    </comment>
    <comment ref="K241" authorId="0" shapeId="0" xr:uid="{A444E7A1-EE33-4746-B51F-606641503C71}">
      <text>
        <r>
          <rPr>
            <b/>
            <sz val="9"/>
            <color indexed="81"/>
            <rFont val="Tahoma"/>
            <family val="2"/>
          </rPr>
          <t>=IF($C241="","",IFERROR(CIQ($C241,"IQ_DAYS_PAYABLE_OUT",K$226,vd),""))</t>
        </r>
      </text>
    </comment>
    <comment ref="L241" authorId="0" shapeId="0" xr:uid="{1E8F9AED-5B38-471D-9CE2-9AACE651F93B}">
      <text>
        <r>
          <rPr>
            <b/>
            <sz val="9"/>
            <color indexed="81"/>
            <rFont val="Tahoma"/>
            <family val="2"/>
          </rPr>
          <t>=IF($C241="","",IFERROR(CIQ($C241,"IQ_DAYS_PAYABLE_OUT",L$226,vd),""))</t>
        </r>
      </text>
    </comment>
    <comment ref="M241" authorId="0" shapeId="0" xr:uid="{1E8A266D-0874-4820-AE20-BF3DE11E4172}">
      <text>
        <r>
          <rPr>
            <b/>
            <sz val="9"/>
            <color indexed="81"/>
            <rFont val="Tahoma"/>
            <family val="2"/>
          </rPr>
          <t>=IF($C241="","",IFERROR(CIQ($C241,"IQ_DAYS_PAYABLE_OUT",M$226,vd),""))</t>
        </r>
      </text>
    </comment>
    <comment ref="N241" authorId="0" shapeId="0" xr:uid="{893CF9E3-7FF4-41D5-BC5D-AB0D26CE9FD2}">
      <text>
        <r>
          <rPr>
            <b/>
            <sz val="9"/>
            <color indexed="81"/>
            <rFont val="Tahoma"/>
            <family val="2"/>
          </rPr>
          <t>=IF($C241="","",IFERROR(CIQ($C241,"IQ_DAYS_PAYABLE_OUT",N$226,vd),""))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Huy Nguyen</author>
  </authors>
  <commentList>
    <comment ref="C14" authorId="0" shapeId="0" xr:uid="{00000000-0006-0000-0F00-000001000000}">
      <text>
        <r>
          <rPr>
            <b/>
            <sz val="9"/>
            <color indexed="81"/>
            <rFont val="Tahoma"/>
            <family val="2"/>
          </rPr>
          <t>Huy Nguyen:</t>
        </r>
        <r>
          <rPr>
            <sz val="9"/>
            <color indexed="81"/>
            <rFont val="Tahoma"/>
            <family val="2"/>
          </rPr>
          <t xml:space="preserve">
Keep this at 2 always for the base assumption in TV growth rate and discount rate.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Bilal Noorgat</author>
  </authors>
  <commentList>
    <comment ref="A13" authorId="0" shapeId="0" xr:uid="{F4498E21-78F4-4C53-995F-23C9F0C683C5}">
      <text>
        <r>
          <rPr>
            <b/>
            <sz val="9"/>
            <color indexed="81"/>
            <rFont val="Tahoma"/>
            <family val="2"/>
          </rPr>
          <t>=IF(CIQ($C$9,"IQ_TR_TRANSACTION_QUICK_COMPS_MA",$L13)=0,"",CIQ($C$9,"IQ_TR_TRANSACTION_QUICK_COMPS_MA",$L13))</t>
        </r>
      </text>
    </comment>
    <comment ref="B13" authorId="0" shapeId="0" xr:uid="{F011CB97-FEF9-4811-B382-D63595BD7416}">
      <text>
        <r>
          <rPr>
            <b/>
            <sz val="9"/>
            <color indexed="81"/>
            <rFont val="Tahoma"/>
            <family val="2"/>
          </rPr>
          <t>=IF($A13="","",CIQ($A13,"IQ_TR_ANN_DATE"))</t>
        </r>
      </text>
    </comment>
    <comment ref="C13" authorId="0" shapeId="0" xr:uid="{AAB822AB-C489-42DB-A4A0-7191571C767B}">
      <text>
        <r>
          <rPr>
            <b/>
            <sz val="9"/>
            <color indexed="81"/>
            <rFont val="Tahoma"/>
            <family val="2"/>
          </rPr>
          <t>=IF($A13="","",CIQ($A13,"IQ_TR_TARGETNAME"))</t>
        </r>
      </text>
    </comment>
    <comment ref="D13" authorId="0" shapeId="0" xr:uid="{7C092708-1E77-41FE-9309-66070F358EBB}">
      <text>
        <r>
          <rPr>
            <b/>
            <sz val="9"/>
            <color indexed="81"/>
            <rFont val="Tahoma"/>
            <family val="2"/>
          </rPr>
          <t>=IF($A13="","",IF(CIQ($A13,"IQ_TR_BUYERNAME")=0,"-",CIQ($A13,"IQ_TR_BUYERNAME")))</t>
        </r>
      </text>
    </comment>
    <comment ref="E13" authorId="0" shapeId="0" xr:uid="{E27A0A4D-57AF-4E56-87AD-EAE89CD913CE}">
      <text>
        <r>
          <rPr>
            <b/>
            <sz val="9"/>
            <color indexed="81"/>
            <rFont val="Tahoma"/>
            <family val="2"/>
          </rPr>
          <t>=IF($A13="","",IF(CIQ(CIQ($A13,"IQ_TR_TARGET_ID"),"IQ_COUNTRY_NAME")=0,"-",CIQ(CIQ($A13,"IQ_TR_TARGET_ID"),"IQ_COUNTRY_NAME")))</t>
        </r>
      </text>
    </comment>
    <comment ref="F13" authorId="0" shapeId="0" xr:uid="{B8010761-DFFF-4208-84F1-EA8924A5114C}">
      <text>
        <r>
          <rPr>
            <b/>
            <sz val="9"/>
            <color indexed="81"/>
            <rFont val="Tahoma"/>
            <family val="2"/>
          </rPr>
          <t>=IF($A13="","",CIQ($A13,"IQ_TR_TOTALVALUE"))</t>
        </r>
      </text>
    </comment>
    <comment ref="G13" authorId="0" shapeId="0" xr:uid="{86A9D5F2-0F24-465C-884C-F3F7A99094FB}">
      <text>
        <r>
          <rPr>
            <b/>
            <sz val="9"/>
            <color indexed="81"/>
            <rFont val="Tahoma"/>
            <family val="2"/>
          </rPr>
          <t>=IF($A13="","",CIQ($A13,"IQ_TR_STATUS"))</t>
        </r>
      </text>
    </comment>
    <comment ref="H13" authorId="0" shapeId="0" xr:uid="{EC4B81AD-AFE3-4978-9300-F1FE66A2944D}">
      <text>
        <r>
          <rPr>
            <b/>
            <sz val="9"/>
            <color indexed="81"/>
            <rFont val="Tahoma"/>
            <family val="2"/>
          </rPr>
          <t>=IF($A13="","",CIQ($A13,"IQ_TR_CURRENCY"))</t>
        </r>
      </text>
    </comment>
    <comment ref="I13" authorId="0" shapeId="0" xr:uid="{80B6F173-E3E0-4668-846F-3117F931D39D}">
      <text>
        <r>
          <rPr>
            <b/>
            <sz val="9"/>
            <color indexed="81"/>
            <rFont val="Tahoma"/>
            <family val="2"/>
          </rPr>
          <t>=IF($A13="","",CIQ($A13,"IQ_TR_IMPLIED_EV_EBITDA"))</t>
        </r>
      </text>
    </comment>
    <comment ref="J13" authorId="0" shapeId="0" xr:uid="{6C01747D-1E96-41D6-ACF8-7FEAF1BF0970}">
      <text>
        <r>
          <rPr>
            <b/>
            <sz val="9"/>
            <color indexed="81"/>
            <rFont val="Tahoma"/>
            <family val="2"/>
          </rPr>
          <t>=IF($A13="","",CIQ($A13,"IQ_TR_IMPLIED_EV_REV"))</t>
        </r>
      </text>
    </comment>
    <comment ref="K13" authorId="0" shapeId="0" xr:uid="{4D8113D1-7228-46B0-A16F-9FBCF35E553B}">
      <text>
        <r>
          <rPr>
            <b/>
            <sz val="9"/>
            <color indexed="81"/>
            <rFont val="Tahoma"/>
            <family val="2"/>
          </rPr>
          <t>=IF($A13="","",CIQ($A13,"IQ_TR_IMPLIED_EV_EBIT"))</t>
        </r>
      </text>
    </comment>
    <comment ref="A14" authorId="0" shapeId="0" xr:uid="{7D7197BA-9E26-4259-869B-EAEB2D5B04FE}">
      <text>
        <r>
          <rPr>
            <b/>
            <sz val="9"/>
            <color indexed="81"/>
            <rFont val="Tahoma"/>
            <family val="2"/>
          </rPr>
          <t>=IF(CIQ($C$9,"IQ_TR_TRANSACTION_QUICK_COMPS_MA",$L14)=0,"",CIQ($C$9,"IQ_TR_TRANSACTION_QUICK_COMPS_MA",$L14))</t>
        </r>
      </text>
    </comment>
    <comment ref="B14" authorId="0" shapeId="0" xr:uid="{09F4B767-2FD1-466F-BED4-CFFCF66F927C}">
      <text>
        <r>
          <rPr>
            <b/>
            <sz val="9"/>
            <color indexed="81"/>
            <rFont val="Tahoma"/>
            <family val="2"/>
          </rPr>
          <t>=IF($A14="","",CIQ($A14,"IQ_TR_ANN_DATE"))</t>
        </r>
      </text>
    </comment>
    <comment ref="C14" authorId="0" shapeId="0" xr:uid="{90C93E90-12A1-4C6A-A341-2896639C566A}">
      <text>
        <r>
          <rPr>
            <b/>
            <sz val="9"/>
            <color indexed="81"/>
            <rFont val="Tahoma"/>
            <family val="2"/>
          </rPr>
          <t>=IF($A14="","",CIQ($A14,"IQ_TR_TARGETNAME"))</t>
        </r>
      </text>
    </comment>
    <comment ref="D14" authorId="0" shapeId="0" xr:uid="{638D24E9-6292-435A-8120-B5C588933615}">
      <text>
        <r>
          <rPr>
            <b/>
            <sz val="9"/>
            <color indexed="81"/>
            <rFont val="Tahoma"/>
            <family val="2"/>
          </rPr>
          <t>=IF($A14="","",IF(CIQ($A14,"IQ_TR_BUYERNAME")=0,"-",CIQ($A14,"IQ_TR_BUYERNAME")))</t>
        </r>
      </text>
    </comment>
    <comment ref="E14" authorId="0" shapeId="0" xr:uid="{848097A6-3DF4-480E-BEF4-2AA5485129A3}">
      <text>
        <r>
          <rPr>
            <b/>
            <sz val="9"/>
            <color indexed="81"/>
            <rFont val="Tahoma"/>
            <family val="2"/>
          </rPr>
          <t>=IF($A14="","",IF(CIQ(CIQ($A14,"IQ_TR_TARGET_ID"),"IQ_COUNTRY_NAME")=0,"-",CIQ(CIQ($A14,"IQ_TR_TARGET_ID"),"IQ_COUNTRY_NAME")))</t>
        </r>
      </text>
    </comment>
    <comment ref="F14" authorId="0" shapeId="0" xr:uid="{80E8F0B4-3E46-4968-BBB4-E077ED7C28CA}">
      <text>
        <r>
          <rPr>
            <b/>
            <sz val="9"/>
            <color indexed="81"/>
            <rFont val="Tahoma"/>
            <family val="2"/>
          </rPr>
          <t>=IF($A14="","",CIQ($A14,"IQ_TR_TOTALVALUE"))</t>
        </r>
      </text>
    </comment>
    <comment ref="G14" authorId="0" shapeId="0" xr:uid="{32636821-CCB8-4BD0-82E8-D08D100AD1CA}">
      <text>
        <r>
          <rPr>
            <b/>
            <sz val="9"/>
            <color indexed="81"/>
            <rFont val="Tahoma"/>
            <family val="2"/>
          </rPr>
          <t>=IF($A14="","",CIQ($A14,"IQ_TR_STATUS"))</t>
        </r>
      </text>
    </comment>
    <comment ref="H14" authorId="0" shapeId="0" xr:uid="{0F9CF55E-E7EA-4709-BE01-CCC27D96A71E}">
      <text>
        <r>
          <rPr>
            <b/>
            <sz val="9"/>
            <color indexed="81"/>
            <rFont val="Tahoma"/>
            <family val="2"/>
          </rPr>
          <t>=IF($A14="","",CIQ($A14,"IQ_TR_CURRENCY"))</t>
        </r>
      </text>
    </comment>
    <comment ref="I14" authorId="0" shapeId="0" xr:uid="{A0D84779-E710-41B3-BFDD-8329431091A6}">
      <text>
        <r>
          <rPr>
            <b/>
            <sz val="9"/>
            <color indexed="81"/>
            <rFont val="Tahoma"/>
            <family val="2"/>
          </rPr>
          <t>=IF($A14="","",CIQ($A14,"IQ_TR_IMPLIED_EV_EBITDA"))</t>
        </r>
      </text>
    </comment>
    <comment ref="J14" authorId="0" shapeId="0" xr:uid="{9842DD84-2967-48FF-8734-8A2B574BF9E8}">
      <text>
        <r>
          <rPr>
            <b/>
            <sz val="9"/>
            <color indexed="81"/>
            <rFont val="Tahoma"/>
            <family val="2"/>
          </rPr>
          <t>=IF($A14="","",CIQ($A14,"IQ_TR_IMPLIED_EV_REV"))</t>
        </r>
      </text>
    </comment>
    <comment ref="K14" authorId="0" shapeId="0" xr:uid="{EF687C7E-7A8D-4ABC-BB98-8FD7FB7760E6}">
      <text>
        <r>
          <rPr>
            <b/>
            <sz val="9"/>
            <color indexed="81"/>
            <rFont val="Tahoma"/>
            <family val="2"/>
          </rPr>
          <t>=IF($A14="","",CIQ($A14,"IQ_TR_IMPLIED_EV_EBIT"))</t>
        </r>
      </text>
    </comment>
    <comment ref="A15" authorId="0" shapeId="0" xr:uid="{4A8FE754-0473-47C9-9E61-AA113A622B2B}">
      <text>
        <r>
          <rPr>
            <b/>
            <sz val="9"/>
            <color indexed="81"/>
            <rFont val="Tahoma"/>
            <family val="2"/>
          </rPr>
          <t>=IF(CIQ($C$9,"IQ_TR_TRANSACTION_QUICK_COMPS_MA",$L15)=0,"",CIQ($C$9,"IQ_TR_TRANSACTION_QUICK_COMPS_MA",$L15))</t>
        </r>
      </text>
    </comment>
    <comment ref="B15" authorId="0" shapeId="0" xr:uid="{1F01F4B8-275B-4D70-8AA3-CF7AECBBDD48}">
      <text>
        <r>
          <rPr>
            <b/>
            <sz val="9"/>
            <color indexed="81"/>
            <rFont val="Tahoma"/>
            <family val="2"/>
          </rPr>
          <t>=IF($A15="","",CIQ($A15,"IQ_TR_ANN_DATE"))</t>
        </r>
      </text>
    </comment>
    <comment ref="C15" authorId="0" shapeId="0" xr:uid="{6DAFB766-79A8-4EDB-9D84-7F963C3EC2B1}">
      <text>
        <r>
          <rPr>
            <b/>
            <sz val="9"/>
            <color indexed="81"/>
            <rFont val="Tahoma"/>
            <family val="2"/>
          </rPr>
          <t>=IF($A15="","",CIQ($A15,"IQ_TR_TARGETNAME"))</t>
        </r>
      </text>
    </comment>
    <comment ref="D15" authorId="0" shapeId="0" xr:uid="{CA8FB20D-B277-4206-BDBF-855FE6099193}">
      <text>
        <r>
          <rPr>
            <b/>
            <sz val="9"/>
            <color indexed="81"/>
            <rFont val="Tahoma"/>
            <family val="2"/>
          </rPr>
          <t>=IF($A15="","",IF(CIQ($A15,"IQ_TR_BUYERNAME")=0,"-",CIQ($A15,"IQ_TR_BUYERNAME")))</t>
        </r>
      </text>
    </comment>
    <comment ref="E15" authorId="0" shapeId="0" xr:uid="{89EC6C1F-5A76-4466-A3CC-23F51CCDA1C1}">
      <text>
        <r>
          <rPr>
            <b/>
            <sz val="9"/>
            <color indexed="81"/>
            <rFont val="Tahoma"/>
            <family val="2"/>
          </rPr>
          <t>=IF($A15="","",IF(CIQ(CIQ($A15,"IQ_TR_TARGET_ID"),"IQ_COUNTRY_NAME")=0,"-",CIQ(CIQ($A15,"IQ_TR_TARGET_ID"),"IQ_COUNTRY_NAME")))</t>
        </r>
      </text>
    </comment>
    <comment ref="F15" authorId="0" shapeId="0" xr:uid="{6A52ED8A-FDD5-44C5-BB9D-F7D4CB4583D9}">
      <text>
        <r>
          <rPr>
            <b/>
            <sz val="9"/>
            <color indexed="81"/>
            <rFont val="Tahoma"/>
            <family val="2"/>
          </rPr>
          <t>=IF($A15="","",CIQ($A15,"IQ_TR_TOTALVALUE"))</t>
        </r>
      </text>
    </comment>
    <comment ref="G15" authorId="0" shapeId="0" xr:uid="{835EF798-C31A-4A78-8387-19267944FCC4}">
      <text>
        <r>
          <rPr>
            <b/>
            <sz val="9"/>
            <color indexed="81"/>
            <rFont val="Tahoma"/>
            <family val="2"/>
          </rPr>
          <t>=IF($A15="","",CIQ($A15,"IQ_TR_STATUS"))</t>
        </r>
      </text>
    </comment>
    <comment ref="H15" authorId="0" shapeId="0" xr:uid="{4AAB5A30-9746-4CE4-A434-17BA52CF87F1}">
      <text>
        <r>
          <rPr>
            <b/>
            <sz val="9"/>
            <color indexed="81"/>
            <rFont val="Tahoma"/>
            <family val="2"/>
          </rPr>
          <t>=IF($A15="","",CIQ($A15,"IQ_TR_CURRENCY"))</t>
        </r>
      </text>
    </comment>
    <comment ref="I15" authorId="0" shapeId="0" xr:uid="{2C208F92-7BC0-4558-B1EE-B5ED62ACC059}">
      <text>
        <r>
          <rPr>
            <b/>
            <sz val="9"/>
            <color indexed="81"/>
            <rFont val="Tahoma"/>
            <family val="2"/>
          </rPr>
          <t>=IF($A15="","",CIQ($A15,"IQ_TR_IMPLIED_EV_EBITDA"))</t>
        </r>
      </text>
    </comment>
    <comment ref="J15" authorId="0" shapeId="0" xr:uid="{4E979AE7-387F-4ABD-8A96-206FDDCD22BE}">
      <text>
        <r>
          <rPr>
            <b/>
            <sz val="9"/>
            <color indexed="81"/>
            <rFont val="Tahoma"/>
            <family val="2"/>
          </rPr>
          <t>=IF($A15="","",CIQ($A15,"IQ_TR_IMPLIED_EV_REV"))</t>
        </r>
      </text>
    </comment>
    <comment ref="K15" authorId="0" shapeId="0" xr:uid="{709C4983-34BD-4BE7-80C1-A6CC20B000E4}">
      <text>
        <r>
          <rPr>
            <b/>
            <sz val="9"/>
            <color indexed="81"/>
            <rFont val="Tahoma"/>
            <family val="2"/>
          </rPr>
          <t>=IF($A15="","",CIQ($A15,"IQ_TR_IMPLIED_EV_EBIT"))</t>
        </r>
      </text>
    </comment>
    <comment ref="A16" authorId="0" shapeId="0" xr:uid="{99CDDAC5-AB07-420F-8585-0CC39CDC227A}">
      <text>
        <r>
          <rPr>
            <b/>
            <sz val="9"/>
            <color indexed="81"/>
            <rFont val="Tahoma"/>
            <family val="2"/>
          </rPr>
          <t>=IF(CIQ($C$9,"IQ_TR_TRANSACTION_QUICK_COMPS_MA",$L16)=0,"",CIQ($C$9,"IQ_TR_TRANSACTION_QUICK_COMPS_MA",$L16))</t>
        </r>
      </text>
    </comment>
    <comment ref="B16" authorId="0" shapeId="0" xr:uid="{F226FB7E-4D80-4F9F-A82B-B92CFB3D83AA}">
      <text>
        <r>
          <rPr>
            <b/>
            <sz val="9"/>
            <color indexed="81"/>
            <rFont val="Tahoma"/>
            <family val="2"/>
          </rPr>
          <t>=IF($A16="","",CIQ($A16,"IQ_TR_ANN_DATE"))</t>
        </r>
      </text>
    </comment>
    <comment ref="C16" authorId="0" shapeId="0" xr:uid="{59461F99-A927-4EFC-ABB9-8DA9BF43F8EF}">
      <text>
        <r>
          <rPr>
            <b/>
            <sz val="9"/>
            <color indexed="81"/>
            <rFont val="Tahoma"/>
            <family val="2"/>
          </rPr>
          <t>=IF($A16="","",CIQ($A16,"IQ_TR_TARGETNAME"))</t>
        </r>
      </text>
    </comment>
    <comment ref="D16" authorId="0" shapeId="0" xr:uid="{189C937A-BAB0-4A67-83B1-DA7CB17C81DE}">
      <text>
        <r>
          <rPr>
            <b/>
            <sz val="9"/>
            <color indexed="81"/>
            <rFont val="Tahoma"/>
            <family val="2"/>
          </rPr>
          <t>=IF($A16="","",IF(CIQ($A16,"IQ_TR_BUYERNAME")=0,"-",CIQ($A16,"IQ_TR_BUYERNAME")))</t>
        </r>
      </text>
    </comment>
    <comment ref="E16" authorId="0" shapeId="0" xr:uid="{86728A10-A252-477F-9221-8216109C7E4E}">
      <text>
        <r>
          <rPr>
            <b/>
            <sz val="9"/>
            <color indexed="81"/>
            <rFont val="Tahoma"/>
            <family val="2"/>
          </rPr>
          <t>=IF($A16="","",IF(CIQ(CIQ($A16,"IQ_TR_TARGET_ID"),"IQ_COUNTRY_NAME")=0,"-",CIQ(CIQ($A16,"IQ_TR_TARGET_ID"),"IQ_COUNTRY_NAME")))</t>
        </r>
      </text>
    </comment>
    <comment ref="F16" authorId="0" shapeId="0" xr:uid="{2B21DE25-15EA-4DB8-BBE0-592AEC8949F8}">
      <text>
        <r>
          <rPr>
            <b/>
            <sz val="9"/>
            <color indexed="81"/>
            <rFont val="Tahoma"/>
            <family val="2"/>
          </rPr>
          <t>=IF($A16="","",CIQ($A16,"IQ_TR_TOTALVALUE"))</t>
        </r>
      </text>
    </comment>
    <comment ref="G16" authorId="0" shapeId="0" xr:uid="{E424D85C-2060-4B7C-921D-C2C31CCFD694}">
      <text>
        <r>
          <rPr>
            <b/>
            <sz val="9"/>
            <color indexed="81"/>
            <rFont val="Tahoma"/>
            <family val="2"/>
          </rPr>
          <t>=IF($A16="","",CIQ($A16,"IQ_TR_STATUS"))</t>
        </r>
      </text>
    </comment>
    <comment ref="H16" authorId="0" shapeId="0" xr:uid="{0C6494AB-6D47-4B8D-83B4-3B8AF2CF610A}">
      <text>
        <r>
          <rPr>
            <b/>
            <sz val="9"/>
            <color indexed="81"/>
            <rFont val="Tahoma"/>
            <family val="2"/>
          </rPr>
          <t>=IF($A16="","",CIQ($A16,"IQ_TR_CURRENCY"))</t>
        </r>
      </text>
    </comment>
    <comment ref="I16" authorId="0" shapeId="0" xr:uid="{55D4EE4D-8A51-4C0E-8D7C-40C16250ED92}">
      <text>
        <r>
          <rPr>
            <b/>
            <sz val="9"/>
            <color indexed="81"/>
            <rFont val="Tahoma"/>
            <family val="2"/>
          </rPr>
          <t>=IF($A16="","",CIQ($A16,"IQ_TR_IMPLIED_EV_EBITDA"))</t>
        </r>
      </text>
    </comment>
    <comment ref="J16" authorId="0" shapeId="0" xr:uid="{53CD3DB8-458A-4637-8C03-E2473AD5D0A5}">
      <text>
        <r>
          <rPr>
            <b/>
            <sz val="9"/>
            <color indexed="81"/>
            <rFont val="Tahoma"/>
            <family val="2"/>
          </rPr>
          <t>=IF($A16="","",CIQ($A16,"IQ_TR_IMPLIED_EV_REV"))</t>
        </r>
      </text>
    </comment>
    <comment ref="K16" authorId="0" shapeId="0" xr:uid="{D600713C-534E-4461-880C-B50144E586E0}">
      <text>
        <r>
          <rPr>
            <b/>
            <sz val="9"/>
            <color indexed="81"/>
            <rFont val="Tahoma"/>
            <family val="2"/>
          </rPr>
          <t>=IF($A16="","",CIQ($A16,"IQ_TR_IMPLIED_EV_EBIT"))</t>
        </r>
      </text>
    </comment>
    <comment ref="A17" authorId="0" shapeId="0" xr:uid="{C9DF8C5B-0457-4E6A-85BC-CA33EE96072B}">
      <text>
        <r>
          <rPr>
            <b/>
            <sz val="9"/>
            <color indexed="81"/>
            <rFont val="Tahoma"/>
            <family val="2"/>
          </rPr>
          <t>=IF(CIQ($C$9,"IQ_TR_TRANSACTION_QUICK_COMPS_MA",$L17)=0,"",CIQ($C$9,"IQ_TR_TRANSACTION_QUICK_COMPS_MA",$L17))</t>
        </r>
      </text>
    </comment>
    <comment ref="B17" authorId="0" shapeId="0" xr:uid="{089CD828-F196-4E95-9DB7-514986FFFF4B}">
      <text>
        <r>
          <rPr>
            <b/>
            <sz val="9"/>
            <color indexed="81"/>
            <rFont val="Tahoma"/>
            <family val="2"/>
          </rPr>
          <t>=IF($A17="","",CIQ($A17,"IQ_TR_ANN_DATE"))</t>
        </r>
      </text>
    </comment>
    <comment ref="C17" authorId="0" shapeId="0" xr:uid="{CA50D67C-FDA0-4195-B954-0CCB62B8339B}">
      <text>
        <r>
          <rPr>
            <b/>
            <sz val="9"/>
            <color indexed="81"/>
            <rFont val="Tahoma"/>
            <family val="2"/>
          </rPr>
          <t>=IF($A17="","",CIQ($A17,"IQ_TR_TARGETNAME"))</t>
        </r>
      </text>
    </comment>
    <comment ref="D17" authorId="0" shapeId="0" xr:uid="{40C6A8B3-0031-48A9-AEB9-B20ABAD9F301}">
      <text>
        <r>
          <rPr>
            <b/>
            <sz val="9"/>
            <color indexed="81"/>
            <rFont val="Tahoma"/>
            <family val="2"/>
          </rPr>
          <t>=IF($A17="","",IF(CIQ($A17,"IQ_TR_BUYERNAME")=0,"-",CIQ($A17,"IQ_TR_BUYERNAME")))</t>
        </r>
      </text>
    </comment>
    <comment ref="E17" authorId="0" shapeId="0" xr:uid="{B0B1097B-CD9C-4411-BE94-ADBBA1B953D2}">
      <text>
        <r>
          <rPr>
            <b/>
            <sz val="9"/>
            <color indexed="81"/>
            <rFont val="Tahoma"/>
            <family val="2"/>
          </rPr>
          <t>=IF($A17="","",IF(CIQ(CIQ($A17,"IQ_TR_TARGET_ID"),"IQ_COUNTRY_NAME")=0,"-",CIQ(CIQ($A17,"IQ_TR_TARGET_ID"),"IQ_COUNTRY_NAME")))</t>
        </r>
      </text>
    </comment>
    <comment ref="F17" authorId="0" shapeId="0" xr:uid="{F6749A72-3FF3-40D8-BB8E-974511A9DBE6}">
      <text>
        <r>
          <rPr>
            <b/>
            <sz val="9"/>
            <color indexed="81"/>
            <rFont val="Tahoma"/>
            <family val="2"/>
          </rPr>
          <t>=IF($A17="","",CIQ($A17,"IQ_TR_TOTALVALUE"))</t>
        </r>
      </text>
    </comment>
    <comment ref="G17" authorId="0" shapeId="0" xr:uid="{F8B916DD-9804-4AD6-A619-605842D165DA}">
      <text>
        <r>
          <rPr>
            <b/>
            <sz val="9"/>
            <color indexed="81"/>
            <rFont val="Tahoma"/>
            <family val="2"/>
          </rPr>
          <t>=IF($A17="","",CIQ($A17,"IQ_TR_STATUS"))</t>
        </r>
      </text>
    </comment>
    <comment ref="H17" authorId="0" shapeId="0" xr:uid="{0DA10996-9AE3-4E8C-B707-047DC791A2B5}">
      <text>
        <r>
          <rPr>
            <b/>
            <sz val="9"/>
            <color indexed="81"/>
            <rFont val="Tahoma"/>
            <family val="2"/>
          </rPr>
          <t>=IF($A17="","",CIQ($A17,"IQ_TR_CURRENCY"))</t>
        </r>
      </text>
    </comment>
    <comment ref="I17" authorId="0" shapeId="0" xr:uid="{2182CE72-231C-4A13-8476-3EAEA0519D3B}">
      <text>
        <r>
          <rPr>
            <b/>
            <sz val="9"/>
            <color indexed="81"/>
            <rFont val="Tahoma"/>
            <family val="2"/>
          </rPr>
          <t>=IF($A17="","",CIQ($A17,"IQ_TR_IMPLIED_EV_EBITDA"))</t>
        </r>
      </text>
    </comment>
    <comment ref="J17" authorId="0" shapeId="0" xr:uid="{D9C3A5DB-4884-4FDD-863D-EFB0F79F3549}">
      <text>
        <r>
          <rPr>
            <b/>
            <sz val="9"/>
            <color indexed="81"/>
            <rFont val="Tahoma"/>
            <family val="2"/>
          </rPr>
          <t>=IF($A17="","",CIQ($A17,"IQ_TR_IMPLIED_EV_REV"))</t>
        </r>
      </text>
    </comment>
    <comment ref="K17" authorId="0" shapeId="0" xr:uid="{581A0EF0-025A-4C14-BA99-ACF38BBA1FE3}">
      <text>
        <r>
          <rPr>
            <b/>
            <sz val="9"/>
            <color indexed="81"/>
            <rFont val="Tahoma"/>
            <family val="2"/>
          </rPr>
          <t>=IF($A17="","",CIQ($A17,"IQ_TR_IMPLIED_EV_EBIT"))</t>
        </r>
      </text>
    </comment>
    <comment ref="A18" authorId="0" shapeId="0" xr:uid="{BBAD6B65-859C-4130-BA0C-745D128A59C1}">
      <text>
        <r>
          <rPr>
            <b/>
            <sz val="9"/>
            <color indexed="81"/>
            <rFont val="Tahoma"/>
            <family val="2"/>
          </rPr>
          <t>=IF(CIQ($C$9,"IQ_TR_TRANSACTION_QUICK_COMPS_MA",$L18)=0,"",CIQ($C$9,"IQ_TR_TRANSACTION_QUICK_COMPS_MA",$L18))</t>
        </r>
      </text>
    </comment>
    <comment ref="B18" authorId="0" shapeId="0" xr:uid="{2565C8B9-29E9-4F73-9CCA-690ADBC56F03}">
      <text>
        <r>
          <rPr>
            <b/>
            <sz val="9"/>
            <color indexed="81"/>
            <rFont val="Tahoma"/>
            <family val="2"/>
          </rPr>
          <t>=IF($A18="","",CIQ($A18,"IQ_TR_ANN_DATE"))</t>
        </r>
      </text>
    </comment>
    <comment ref="C18" authorId="0" shapeId="0" xr:uid="{DC0B1CFC-D42F-45D2-A058-654827AF8862}">
      <text>
        <r>
          <rPr>
            <b/>
            <sz val="9"/>
            <color indexed="81"/>
            <rFont val="Tahoma"/>
            <family val="2"/>
          </rPr>
          <t>=IF($A18="","",CIQ($A18,"IQ_TR_TARGETNAME"))</t>
        </r>
      </text>
    </comment>
    <comment ref="D18" authorId="0" shapeId="0" xr:uid="{5B20F12A-12F8-4DBF-BF49-0A21709D609B}">
      <text>
        <r>
          <rPr>
            <b/>
            <sz val="9"/>
            <color indexed="81"/>
            <rFont val="Tahoma"/>
            <family val="2"/>
          </rPr>
          <t>=IF($A18="","",IF(CIQ($A18,"IQ_TR_BUYERNAME")=0,"-",CIQ($A18,"IQ_TR_BUYERNAME")))</t>
        </r>
      </text>
    </comment>
    <comment ref="E18" authorId="0" shapeId="0" xr:uid="{6EF17E94-6C0A-4C68-9031-429273507CF7}">
      <text>
        <r>
          <rPr>
            <b/>
            <sz val="9"/>
            <color indexed="81"/>
            <rFont val="Tahoma"/>
            <family val="2"/>
          </rPr>
          <t>=IF($A18="","",IF(CIQ(CIQ($A18,"IQ_TR_TARGET_ID"),"IQ_COUNTRY_NAME")=0,"-",CIQ(CIQ($A18,"IQ_TR_TARGET_ID"),"IQ_COUNTRY_NAME")))</t>
        </r>
      </text>
    </comment>
    <comment ref="F18" authorId="0" shapeId="0" xr:uid="{819B2B6C-49C1-44D5-AB4D-FD22DD278A46}">
      <text>
        <r>
          <rPr>
            <b/>
            <sz val="9"/>
            <color indexed="81"/>
            <rFont val="Tahoma"/>
            <family val="2"/>
          </rPr>
          <t>=IF($A18="","",CIQ($A18,"IQ_TR_TOTALVALUE"))</t>
        </r>
      </text>
    </comment>
    <comment ref="G18" authorId="0" shapeId="0" xr:uid="{44903BA7-8895-4238-9F9D-4EAF689C905C}">
      <text>
        <r>
          <rPr>
            <b/>
            <sz val="9"/>
            <color indexed="81"/>
            <rFont val="Tahoma"/>
            <family val="2"/>
          </rPr>
          <t>=IF($A18="","",CIQ($A18,"IQ_TR_STATUS"))</t>
        </r>
      </text>
    </comment>
    <comment ref="H18" authorId="0" shapeId="0" xr:uid="{162B6720-7679-40D7-9AB2-BD26573C18A3}">
      <text>
        <r>
          <rPr>
            <b/>
            <sz val="9"/>
            <color indexed="81"/>
            <rFont val="Tahoma"/>
            <family val="2"/>
          </rPr>
          <t>=IF($A18="","",CIQ($A18,"IQ_TR_CURRENCY"))</t>
        </r>
      </text>
    </comment>
    <comment ref="I18" authorId="0" shapeId="0" xr:uid="{E65D275A-0C8A-46FE-98C0-BD9C7DB84AC4}">
      <text>
        <r>
          <rPr>
            <b/>
            <sz val="9"/>
            <color indexed="81"/>
            <rFont val="Tahoma"/>
            <family val="2"/>
          </rPr>
          <t>=IF($A18="","",CIQ($A18,"IQ_TR_IMPLIED_EV_EBITDA"))</t>
        </r>
      </text>
    </comment>
    <comment ref="J18" authorId="0" shapeId="0" xr:uid="{7DA003DC-EC13-4E45-B998-5F05F58CA60D}">
      <text>
        <r>
          <rPr>
            <b/>
            <sz val="9"/>
            <color indexed="81"/>
            <rFont val="Tahoma"/>
            <family val="2"/>
          </rPr>
          <t>=IF($A18="","",CIQ($A18,"IQ_TR_IMPLIED_EV_REV"))</t>
        </r>
      </text>
    </comment>
    <comment ref="K18" authorId="0" shapeId="0" xr:uid="{E51BD857-700F-40DB-8AC0-A0290B44B740}">
      <text>
        <r>
          <rPr>
            <b/>
            <sz val="9"/>
            <color indexed="81"/>
            <rFont val="Tahoma"/>
            <family val="2"/>
          </rPr>
          <t>=IF($A18="","",CIQ($A18,"IQ_TR_IMPLIED_EV_EBIT"))</t>
        </r>
      </text>
    </comment>
    <comment ref="A19" authorId="0" shapeId="0" xr:uid="{889E7A00-6825-43B5-AFF1-52BFD2C31D08}">
      <text>
        <r>
          <rPr>
            <b/>
            <sz val="9"/>
            <color indexed="81"/>
            <rFont val="Tahoma"/>
            <family val="2"/>
          </rPr>
          <t>=IF(CIQ($C$9,"IQ_TR_TRANSACTION_QUICK_COMPS_MA",$L19)=0,"",CIQ($C$9,"IQ_TR_TRANSACTION_QUICK_COMPS_MA",$L19))</t>
        </r>
      </text>
    </comment>
    <comment ref="B19" authorId="0" shapeId="0" xr:uid="{218710CE-1731-43DA-863A-9A8F706AAA45}">
      <text>
        <r>
          <rPr>
            <b/>
            <sz val="9"/>
            <color indexed="81"/>
            <rFont val="Tahoma"/>
            <family val="2"/>
          </rPr>
          <t>=IF($A19="","",CIQ($A19,"IQ_TR_ANN_DATE"))</t>
        </r>
      </text>
    </comment>
    <comment ref="C19" authorId="0" shapeId="0" xr:uid="{698A9E1B-7287-4E06-856E-818BD77432A2}">
      <text>
        <r>
          <rPr>
            <b/>
            <sz val="9"/>
            <color indexed="81"/>
            <rFont val="Tahoma"/>
            <family val="2"/>
          </rPr>
          <t>=IF($A19="","",CIQ($A19,"IQ_TR_TARGETNAME"))</t>
        </r>
      </text>
    </comment>
    <comment ref="D19" authorId="0" shapeId="0" xr:uid="{A45DA9D3-F8E6-4803-BDB1-4B4CA8718E1C}">
      <text>
        <r>
          <rPr>
            <b/>
            <sz val="9"/>
            <color indexed="81"/>
            <rFont val="Tahoma"/>
            <family val="2"/>
          </rPr>
          <t>=IF($A19="","",IF(CIQ($A19,"IQ_TR_BUYERNAME")=0,"-",CIQ($A19,"IQ_TR_BUYERNAME")))</t>
        </r>
      </text>
    </comment>
    <comment ref="E19" authorId="0" shapeId="0" xr:uid="{C7AA0673-3DE6-4C11-A42B-386FC2C5627A}">
      <text>
        <r>
          <rPr>
            <b/>
            <sz val="9"/>
            <color indexed="81"/>
            <rFont val="Tahoma"/>
            <family val="2"/>
          </rPr>
          <t>=IF($A19="","",IF(CIQ(CIQ($A19,"IQ_TR_TARGET_ID"),"IQ_COUNTRY_NAME")=0,"-",CIQ(CIQ($A19,"IQ_TR_TARGET_ID"),"IQ_COUNTRY_NAME")))</t>
        </r>
      </text>
    </comment>
    <comment ref="F19" authorId="0" shapeId="0" xr:uid="{EC65639F-DD72-4151-A0EF-4C4E0BE0DBEF}">
      <text>
        <r>
          <rPr>
            <b/>
            <sz val="9"/>
            <color indexed="81"/>
            <rFont val="Tahoma"/>
            <family val="2"/>
          </rPr>
          <t>=IF($A19="","",CIQ($A19,"IQ_TR_TOTALVALUE"))</t>
        </r>
      </text>
    </comment>
    <comment ref="G19" authorId="0" shapeId="0" xr:uid="{C11CDDB6-F068-4866-AEB6-61CE93468D7B}">
      <text>
        <r>
          <rPr>
            <b/>
            <sz val="9"/>
            <color indexed="81"/>
            <rFont val="Tahoma"/>
            <family val="2"/>
          </rPr>
          <t>=IF($A19="","",CIQ($A19,"IQ_TR_STATUS"))</t>
        </r>
      </text>
    </comment>
    <comment ref="H19" authorId="0" shapeId="0" xr:uid="{29D2ACE5-0F0B-438F-886E-88632E768FCD}">
      <text>
        <r>
          <rPr>
            <b/>
            <sz val="9"/>
            <color indexed="81"/>
            <rFont val="Tahoma"/>
            <family val="2"/>
          </rPr>
          <t>=IF($A19="","",CIQ($A19,"IQ_TR_CURRENCY"))</t>
        </r>
      </text>
    </comment>
    <comment ref="I19" authorId="0" shapeId="0" xr:uid="{DD6A6146-92F4-4B8C-BB4E-2F449CB4B0ED}">
      <text>
        <r>
          <rPr>
            <b/>
            <sz val="9"/>
            <color indexed="81"/>
            <rFont val="Tahoma"/>
            <family val="2"/>
          </rPr>
          <t>=IF($A19="","",CIQ($A19,"IQ_TR_IMPLIED_EV_EBITDA"))</t>
        </r>
      </text>
    </comment>
    <comment ref="J19" authorId="0" shapeId="0" xr:uid="{EF202AF8-2848-44FA-9C40-346F66AC8F64}">
      <text>
        <r>
          <rPr>
            <b/>
            <sz val="9"/>
            <color indexed="81"/>
            <rFont val="Tahoma"/>
            <family val="2"/>
          </rPr>
          <t>=IF($A19="","",CIQ($A19,"IQ_TR_IMPLIED_EV_REV"))</t>
        </r>
      </text>
    </comment>
    <comment ref="K19" authorId="0" shapeId="0" xr:uid="{BD0C1825-F659-4277-A3B0-CEEAE2EAFDF4}">
      <text>
        <r>
          <rPr>
            <b/>
            <sz val="9"/>
            <color indexed="81"/>
            <rFont val="Tahoma"/>
            <family val="2"/>
          </rPr>
          <t>=IF($A19="","",CIQ($A19,"IQ_TR_IMPLIED_EV_EBIT"))</t>
        </r>
      </text>
    </comment>
    <comment ref="A20" authorId="0" shapeId="0" xr:uid="{6B03D82A-FF6F-4122-9B38-13DAE6D8A1A0}">
      <text>
        <r>
          <rPr>
            <b/>
            <sz val="9"/>
            <color indexed="81"/>
            <rFont val="Tahoma"/>
            <family val="2"/>
          </rPr>
          <t>=IF(CIQ($C$9,"IQ_TR_TRANSACTION_QUICK_COMPS_MA",$L20)=0,"",CIQ($C$9,"IQ_TR_TRANSACTION_QUICK_COMPS_MA",$L20))</t>
        </r>
      </text>
    </comment>
    <comment ref="B20" authorId="0" shapeId="0" xr:uid="{9FA26393-7C26-4421-A265-F7612DF85B8D}">
      <text>
        <r>
          <rPr>
            <b/>
            <sz val="9"/>
            <color indexed="81"/>
            <rFont val="Tahoma"/>
            <family val="2"/>
          </rPr>
          <t>=IF($A20="","",CIQ($A20,"IQ_TR_ANN_DATE"))</t>
        </r>
      </text>
    </comment>
    <comment ref="C20" authorId="0" shapeId="0" xr:uid="{027784C9-F6D0-4C16-BE4B-4391AFDD2732}">
      <text>
        <r>
          <rPr>
            <b/>
            <sz val="9"/>
            <color indexed="81"/>
            <rFont val="Tahoma"/>
            <family val="2"/>
          </rPr>
          <t>=IF($A20="","",CIQ($A20,"IQ_TR_TARGETNAME"))</t>
        </r>
      </text>
    </comment>
    <comment ref="D20" authorId="0" shapeId="0" xr:uid="{9DFD4970-09F9-44BB-BFB1-F30E98A72025}">
      <text>
        <r>
          <rPr>
            <b/>
            <sz val="9"/>
            <color indexed="81"/>
            <rFont val="Tahoma"/>
            <family val="2"/>
          </rPr>
          <t>=IF($A20="","",IF(CIQ($A20,"IQ_TR_BUYERNAME")=0,"-",CIQ($A20,"IQ_TR_BUYERNAME")))</t>
        </r>
      </text>
    </comment>
    <comment ref="E20" authorId="0" shapeId="0" xr:uid="{E5AFDB96-0AB6-49A2-9053-898FBD3F50F1}">
      <text>
        <r>
          <rPr>
            <b/>
            <sz val="9"/>
            <color indexed="81"/>
            <rFont val="Tahoma"/>
            <family val="2"/>
          </rPr>
          <t>=IF($A20="","",IF(CIQ(CIQ($A20,"IQ_TR_TARGET_ID"),"IQ_COUNTRY_NAME")=0,"-",CIQ(CIQ($A20,"IQ_TR_TARGET_ID"),"IQ_COUNTRY_NAME")))</t>
        </r>
      </text>
    </comment>
    <comment ref="F20" authorId="0" shapeId="0" xr:uid="{63D60F87-CD3C-4FD4-B128-AD0D1E40AC02}">
      <text>
        <r>
          <rPr>
            <b/>
            <sz val="9"/>
            <color indexed="81"/>
            <rFont val="Tahoma"/>
            <family val="2"/>
          </rPr>
          <t>=IF($A20="","",CIQ($A20,"IQ_TR_TOTALVALUE"))</t>
        </r>
      </text>
    </comment>
    <comment ref="G20" authorId="0" shapeId="0" xr:uid="{F65423CE-2667-4219-A0FA-A3934DD3426D}">
      <text>
        <r>
          <rPr>
            <b/>
            <sz val="9"/>
            <color indexed="81"/>
            <rFont val="Tahoma"/>
            <family val="2"/>
          </rPr>
          <t>=IF($A20="","",CIQ($A20,"IQ_TR_STATUS"))</t>
        </r>
      </text>
    </comment>
    <comment ref="H20" authorId="0" shapeId="0" xr:uid="{BBBAF2DB-F3F4-4070-AAAE-4344F8DC2242}">
      <text>
        <r>
          <rPr>
            <b/>
            <sz val="9"/>
            <color indexed="81"/>
            <rFont val="Tahoma"/>
            <family val="2"/>
          </rPr>
          <t>=IF($A20="","",CIQ($A20,"IQ_TR_CURRENCY"))</t>
        </r>
      </text>
    </comment>
    <comment ref="I20" authorId="0" shapeId="0" xr:uid="{D5DA953C-6D0E-4777-82BC-22789171D93C}">
      <text>
        <r>
          <rPr>
            <b/>
            <sz val="9"/>
            <color indexed="81"/>
            <rFont val="Tahoma"/>
            <family val="2"/>
          </rPr>
          <t>=IF($A20="","",CIQ($A20,"IQ_TR_IMPLIED_EV_EBITDA"))</t>
        </r>
      </text>
    </comment>
    <comment ref="J20" authorId="0" shapeId="0" xr:uid="{EC310DC8-5A29-4D4B-8C3E-BCE5E541C07E}">
      <text>
        <r>
          <rPr>
            <b/>
            <sz val="9"/>
            <color indexed="81"/>
            <rFont val="Tahoma"/>
            <family val="2"/>
          </rPr>
          <t>=IF($A20="","",CIQ($A20,"IQ_TR_IMPLIED_EV_REV"))</t>
        </r>
      </text>
    </comment>
    <comment ref="K20" authorId="0" shapeId="0" xr:uid="{25193893-19F7-4E9D-B578-2FF73CEFCCDB}">
      <text>
        <r>
          <rPr>
            <b/>
            <sz val="9"/>
            <color indexed="81"/>
            <rFont val="Tahoma"/>
            <family val="2"/>
          </rPr>
          <t>=IF($A20="","",CIQ($A20,"IQ_TR_IMPLIED_EV_EBIT"))</t>
        </r>
      </text>
    </comment>
    <comment ref="A21" authorId="0" shapeId="0" xr:uid="{7C714B43-0DE2-452B-890F-F3B753D1FC0C}">
      <text>
        <r>
          <rPr>
            <b/>
            <sz val="9"/>
            <color indexed="81"/>
            <rFont val="Tahoma"/>
            <family val="2"/>
          </rPr>
          <t>=IF(CIQ($C$9,"IQ_TR_TRANSACTION_QUICK_COMPS_MA",$L21)=0,"",CIQ($C$9,"IQ_TR_TRANSACTION_QUICK_COMPS_MA",$L21))</t>
        </r>
      </text>
    </comment>
    <comment ref="B21" authorId="0" shapeId="0" xr:uid="{1D17170F-D613-42A7-BDED-B642DE7016E5}">
      <text>
        <r>
          <rPr>
            <b/>
            <sz val="9"/>
            <color indexed="81"/>
            <rFont val="Tahoma"/>
            <family val="2"/>
          </rPr>
          <t>=IF($A21="","",CIQ($A21,"IQ_TR_ANN_DATE"))</t>
        </r>
      </text>
    </comment>
    <comment ref="C21" authorId="0" shapeId="0" xr:uid="{CA0212CB-709D-4063-847F-E486FA8B6BBE}">
      <text>
        <r>
          <rPr>
            <b/>
            <sz val="9"/>
            <color indexed="81"/>
            <rFont val="Tahoma"/>
            <family val="2"/>
          </rPr>
          <t>=IF($A21="","",CIQ($A21,"IQ_TR_TARGETNAME"))</t>
        </r>
      </text>
    </comment>
    <comment ref="D21" authorId="0" shapeId="0" xr:uid="{EF4FD40D-DBA7-42BA-A787-0CD28F40F483}">
      <text>
        <r>
          <rPr>
            <b/>
            <sz val="9"/>
            <color indexed="81"/>
            <rFont val="Tahoma"/>
            <family val="2"/>
          </rPr>
          <t>=IF($A21="","",IF(CIQ($A21,"IQ_TR_BUYERNAME")=0,"-",CIQ($A21,"IQ_TR_BUYERNAME")))</t>
        </r>
      </text>
    </comment>
    <comment ref="E21" authorId="0" shapeId="0" xr:uid="{0378D0FF-EBB6-4CF7-B68C-8A013B751B54}">
      <text>
        <r>
          <rPr>
            <b/>
            <sz val="9"/>
            <color indexed="81"/>
            <rFont val="Tahoma"/>
            <family val="2"/>
          </rPr>
          <t>=IF($A21="","",IF(CIQ(CIQ($A21,"IQ_TR_TARGET_ID"),"IQ_COUNTRY_NAME")=0,"-",CIQ(CIQ($A21,"IQ_TR_TARGET_ID"),"IQ_COUNTRY_NAME")))</t>
        </r>
      </text>
    </comment>
    <comment ref="F21" authorId="0" shapeId="0" xr:uid="{02CE1E70-B200-4A4F-8180-8CC4758D69C9}">
      <text>
        <r>
          <rPr>
            <b/>
            <sz val="9"/>
            <color indexed="81"/>
            <rFont val="Tahoma"/>
            <family val="2"/>
          </rPr>
          <t>=IF($A21="","",CIQ($A21,"IQ_TR_TOTALVALUE"))</t>
        </r>
      </text>
    </comment>
    <comment ref="G21" authorId="0" shapeId="0" xr:uid="{971C81D2-E21B-48DD-B522-78206F3CB487}">
      <text>
        <r>
          <rPr>
            <b/>
            <sz val="9"/>
            <color indexed="81"/>
            <rFont val="Tahoma"/>
            <family val="2"/>
          </rPr>
          <t>=IF($A21="","",CIQ($A21,"IQ_TR_STATUS"))</t>
        </r>
      </text>
    </comment>
    <comment ref="H21" authorId="0" shapeId="0" xr:uid="{9AC419BE-2F63-44CD-89F0-6DEA141AED3F}">
      <text>
        <r>
          <rPr>
            <b/>
            <sz val="9"/>
            <color indexed="81"/>
            <rFont val="Tahoma"/>
            <family val="2"/>
          </rPr>
          <t>=IF($A21="","",CIQ($A21,"IQ_TR_CURRENCY"))</t>
        </r>
      </text>
    </comment>
    <comment ref="I21" authorId="0" shapeId="0" xr:uid="{5633FD3C-786E-4761-B31E-270DCE7B15BA}">
      <text>
        <r>
          <rPr>
            <b/>
            <sz val="9"/>
            <color indexed="81"/>
            <rFont val="Tahoma"/>
            <family val="2"/>
          </rPr>
          <t>=IF($A21="","",CIQ($A21,"IQ_TR_IMPLIED_EV_EBITDA"))</t>
        </r>
      </text>
    </comment>
    <comment ref="J21" authorId="0" shapeId="0" xr:uid="{6EA29D71-3A44-4CD1-87E5-A25D3856387B}">
      <text>
        <r>
          <rPr>
            <b/>
            <sz val="9"/>
            <color indexed="81"/>
            <rFont val="Tahoma"/>
            <family val="2"/>
          </rPr>
          <t>=IF($A21="","",CIQ($A21,"IQ_TR_IMPLIED_EV_REV"))</t>
        </r>
      </text>
    </comment>
    <comment ref="K21" authorId="0" shapeId="0" xr:uid="{3192C4B4-1035-4E9D-A7E2-CC673DF274DD}">
      <text>
        <r>
          <rPr>
            <b/>
            <sz val="9"/>
            <color indexed="81"/>
            <rFont val="Tahoma"/>
            <family val="2"/>
          </rPr>
          <t>=IF($A21="","",CIQ($A21,"IQ_TR_IMPLIED_EV_EBIT"))</t>
        </r>
      </text>
    </comment>
    <comment ref="A22" authorId="0" shapeId="0" xr:uid="{F426A768-4BD2-46ED-982E-C397C6D4714A}">
      <text>
        <r>
          <rPr>
            <b/>
            <sz val="9"/>
            <color indexed="81"/>
            <rFont val="Tahoma"/>
            <family val="2"/>
          </rPr>
          <t>=IF(CIQ($C$9,"IQ_TR_TRANSACTION_QUICK_COMPS_MA",$L22)=0,"",CIQ($C$9,"IQ_TR_TRANSACTION_QUICK_COMPS_MA",$L22))</t>
        </r>
      </text>
    </comment>
    <comment ref="B22" authorId="0" shapeId="0" xr:uid="{A17750E4-E7A6-4310-9905-BA6934004EF3}">
      <text>
        <r>
          <rPr>
            <b/>
            <sz val="9"/>
            <color indexed="81"/>
            <rFont val="Tahoma"/>
            <family val="2"/>
          </rPr>
          <t>=IF($A22="","",CIQ($A22,"IQ_TR_ANN_DATE"))</t>
        </r>
      </text>
    </comment>
    <comment ref="C22" authorId="0" shapeId="0" xr:uid="{3C3AA53C-8C93-4C3A-9213-ADA603EA1F56}">
      <text>
        <r>
          <rPr>
            <b/>
            <sz val="9"/>
            <color indexed="81"/>
            <rFont val="Tahoma"/>
            <family val="2"/>
          </rPr>
          <t>=IF($A22="","",CIQ($A22,"IQ_TR_TARGETNAME"))</t>
        </r>
      </text>
    </comment>
    <comment ref="D22" authorId="0" shapeId="0" xr:uid="{6004E07B-7984-41E3-B5BF-81E8D188EF53}">
      <text>
        <r>
          <rPr>
            <b/>
            <sz val="9"/>
            <color indexed="81"/>
            <rFont val="Tahoma"/>
            <family val="2"/>
          </rPr>
          <t>=IF($A22="","",IF(CIQ($A22,"IQ_TR_BUYERNAME")=0,"-",CIQ($A22,"IQ_TR_BUYERNAME")))</t>
        </r>
      </text>
    </comment>
    <comment ref="E22" authorId="0" shapeId="0" xr:uid="{F4DCCCAB-22EC-4517-BB7A-B69AA885598C}">
      <text>
        <r>
          <rPr>
            <b/>
            <sz val="9"/>
            <color indexed="81"/>
            <rFont val="Tahoma"/>
            <family val="2"/>
          </rPr>
          <t>=IF($A22="","",IF(CIQ(CIQ($A22,"IQ_TR_TARGET_ID"),"IQ_COUNTRY_NAME")=0,"-",CIQ(CIQ($A22,"IQ_TR_TARGET_ID"),"IQ_COUNTRY_NAME")))</t>
        </r>
      </text>
    </comment>
    <comment ref="F22" authorId="0" shapeId="0" xr:uid="{9046D471-F90E-458F-BE74-FE5F2E77BD9C}">
      <text>
        <r>
          <rPr>
            <b/>
            <sz val="9"/>
            <color indexed="81"/>
            <rFont val="Tahoma"/>
            <family val="2"/>
          </rPr>
          <t>=IF($A22="","",CIQ($A22,"IQ_TR_TOTALVALUE"))</t>
        </r>
      </text>
    </comment>
    <comment ref="G22" authorId="0" shapeId="0" xr:uid="{5D9C434F-781F-427C-B430-4AA6D104B0F5}">
      <text>
        <r>
          <rPr>
            <b/>
            <sz val="9"/>
            <color indexed="81"/>
            <rFont val="Tahoma"/>
            <family val="2"/>
          </rPr>
          <t>=IF($A22="","",CIQ($A22,"IQ_TR_STATUS"))</t>
        </r>
      </text>
    </comment>
    <comment ref="H22" authorId="0" shapeId="0" xr:uid="{6BC9EC96-0155-4F91-9330-4EB30E04AA4B}">
      <text>
        <r>
          <rPr>
            <b/>
            <sz val="9"/>
            <color indexed="81"/>
            <rFont val="Tahoma"/>
            <family val="2"/>
          </rPr>
          <t>=IF($A22="","",CIQ($A22,"IQ_TR_CURRENCY"))</t>
        </r>
      </text>
    </comment>
    <comment ref="I22" authorId="0" shapeId="0" xr:uid="{C2234EDA-A5B3-4D07-828C-4E4E6622B19C}">
      <text>
        <r>
          <rPr>
            <b/>
            <sz val="9"/>
            <color indexed="81"/>
            <rFont val="Tahoma"/>
            <family val="2"/>
          </rPr>
          <t>=IF($A22="","",CIQ($A22,"IQ_TR_IMPLIED_EV_EBITDA"))</t>
        </r>
      </text>
    </comment>
    <comment ref="J22" authorId="0" shapeId="0" xr:uid="{E2AFEF3F-C188-4160-857F-9688A14F7911}">
      <text>
        <r>
          <rPr>
            <b/>
            <sz val="9"/>
            <color indexed="81"/>
            <rFont val="Tahoma"/>
            <family val="2"/>
          </rPr>
          <t>=IF($A22="","",CIQ($A22,"IQ_TR_IMPLIED_EV_REV"))</t>
        </r>
      </text>
    </comment>
    <comment ref="K22" authorId="0" shapeId="0" xr:uid="{792DEF66-3A7C-41DD-AC98-4E11E673CE52}">
      <text>
        <r>
          <rPr>
            <b/>
            <sz val="9"/>
            <color indexed="81"/>
            <rFont val="Tahoma"/>
            <family val="2"/>
          </rPr>
          <t>=IF($A22="","",CIQ($A22,"IQ_TR_IMPLIED_EV_EBIT"))</t>
        </r>
      </text>
    </comment>
    <comment ref="A23" authorId="0" shapeId="0" xr:uid="{814F52DE-2EC9-4A6C-B50D-C274EFAAD03E}">
      <text>
        <r>
          <rPr>
            <b/>
            <sz val="9"/>
            <color indexed="81"/>
            <rFont val="Tahoma"/>
            <family val="2"/>
          </rPr>
          <t>=IF(CIQ($C$9,"IQ_TR_TRANSACTION_QUICK_COMPS_MA",$L23)=0,"",CIQ($C$9,"IQ_TR_TRANSACTION_QUICK_COMPS_MA",$L23))</t>
        </r>
      </text>
    </comment>
    <comment ref="B23" authorId="0" shapeId="0" xr:uid="{F15F281E-41A5-4E54-98E6-E7C8BE7E4628}">
      <text>
        <r>
          <rPr>
            <b/>
            <sz val="9"/>
            <color indexed="81"/>
            <rFont val="Tahoma"/>
            <family val="2"/>
          </rPr>
          <t>=IF($A23="","",CIQ($A23,"IQ_TR_ANN_DATE"))</t>
        </r>
      </text>
    </comment>
    <comment ref="C23" authorId="0" shapeId="0" xr:uid="{10D93AC8-D7C6-4071-8373-F67367F4155A}">
      <text>
        <r>
          <rPr>
            <b/>
            <sz val="9"/>
            <color indexed="81"/>
            <rFont val="Tahoma"/>
            <family val="2"/>
          </rPr>
          <t>=IF($A23="","",CIQ($A23,"IQ_TR_TARGETNAME"))</t>
        </r>
      </text>
    </comment>
    <comment ref="D23" authorId="0" shapeId="0" xr:uid="{ABA78079-C342-4118-B808-78F6DAAFA743}">
      <text>
        <r>
          <rPr>
            <b/>
            <sz val="9"/>
            <color indexed="81"/>
            <rFont val="Tahoma"/>
            <family val="2"/>
          </rPr>
          <t>=IF($A23="","",IF(CIQ($A23,"IQ_TR_BUYERNAME")=0,"-",CIQ($A23,"IQ_TR_BUYERNAME")))</t>
        </r>
      </text>
    </comment>
    <comment ref="E23" authorId="0" shapeId="0" xr:uid="{71AAF2F0-EC9C-4AB4-ACA1-C76B12341A44}">
      <text>
        <r>
          <rPr>
            <b/>
            <sz val="9"/>
            <color indexed="81"/>
            <rFont val="Tahoma"/>
            <family val="2"/>
          </rPr>
          <t>=IF($A23="","",IF(CIQ(CIQ($A23,"IQ_TR_TARGET_ID"),"IQ_COUNTRY_NAME")=0,"-",CIQ(CIQ($A23,"IQ_TR_TARGET_ID"),"IQ_COUNTRY_NAME")))</t>
        </r>
      </text>
    </comment>
    <comment ref="F23" authorId="0" shapeId="0" xr:uid="{892BE276-4DCB-4C25-A4C6-2B3E70157292}">
      <text>
        <r>
          <rPr>
            <b/>
            <sz val="9"/>
            <color indexed="81"/>
            <rFont val="Tahoma"/>
            <family val="2"/>
          </rPr>
          <t>=IF($A23="","",CIQ($A23,"IQ_TR_TOTALVALUE"))</t>
        </r>
      </text>
    </comment>
    <comment ref="G23" authorId="0" shapeId="0" xr:uid="{AEB68185-9043-4EC3-8506-C82AA1E1DDFA}">
      <text>
        <r>
          <rPr>
            <b/>
            <sz val="9"/>
            <color indexed="81"/>
            <rFont val="Tahoma"/>
            <family val="2"/>
          </rPr>
          <t>=IF($A23="","",CIQ($A23,"IQ_TR_STATUS"))</t>
        </r>
      </text>
    </comment>
    <comment ref="H23" authorId="0" shapeId="0" xr:uid="{73C91673-DEDE-4D8D-9F7E-3BE396F04CB2}">
      <text>
        <r>
          <rPr>
            <b/>
            <sz val="9"/>
            <color indexed="81"/>
            <rFont val="Tahoma"/>
            <family val="2"/>
          </rPr>
          <t>=IF($A23="","",CIQ($A23,"IQ_TR_CURRENCY"))</t>
        </r>
      </text>
    </comment>
    <comment ref="I23" authorId="0" shapeId="0" xr:uid="{28C35ADA-0AF1-4B39-8B66-7DBED4E4C24D}">
      <text>
        <r>
          <rPr>
            <b/>
            <sz val="9"/>
            <color indexed="81"/>
            <rFont val="Tahoma"/>
            <family val="2"/>
          </rPr>
          <t>=IF($A23="","",CIQ($A23,"IQ_TR_IMPLIED_EV_EBITDA"))</t>
        </r>
      </text>
    </comment>
    <comment ref="J23" authorId="0" shapeId="0" xr:uid="{85566AC4-F256-4F1B-84F3-DDBC07D1F0F7}">
      <text>
        <r>
          <rPr>
            <b/>
            <sz val="9"/>
            <color indexed="81"/>
            <rFont val="Tahoma"/>
            <family val="2"/>
          </rPr>
          <t>=IF($A23="","",CIQ($A23,"IQ_TR_IMPLIED_EV_REV"))</t>
        </r>
      </text>
    </comment>
    <comment ref="K23" authorId="0" shapeId="0" xr:uid="{73B86265-5A1C-4E51-9ABF-F4912EFFEEF9}">
      <text>
        <r>
          <rPr>
            <b/>
            <sz val="9"/>
            <color indexed="81"/>
            <rFont val="Tahoma"/>
            <family val="2"/>
          </rPr>
          <t>=IF($A23="","",CIQ($A23,"IQ_TR_IMPLIED_EV_EBIT"))</t>
        </r>
      </text>
    </comment>
    <comment ref="A24" authorId="0" shapeId="0" xr:uid="{2D69C6DE-4964-42FA-8538-A9E10D3A7027}">
      <text>
        <r>
          <rPr>
            <b/>
            <sz val="9"/>
            <color indexed="81"/>
            <rFont val="Tahoma"/>
            <family val="2"/>
          </rPr>
          <t>=IF(CIQ($C$9,"IQ_TR_TRANSACTION_QUICK_COMPS_MA",$L24)=0,"",CIQ($C$9,"IQ_TR_TRANSACTION_QUICK_COMPS_MA",$L24))</t>
        </r>
      </text>
    </comment>
    <comment ref="B24" authorId="0" shapeId="0" xr:uid="{82A0BDC2-5FA0-492F-B720-14935DE099B8}">
      <text>
        <r>
          <rPr>
            <b/>
            <sz val="9"/>
            <color indexed="81"/>
            <rFont val="Tahoma"/>
            <family val="2"/>
          </rPr>
          <t>=IF($A24="","",CIQ($A24,"IQ_TR_ANN_DATE"))</t>
        </r>
      </text>
    </comment>
    <comment ref="C24" authorId="0" shapeId="0" xr:uid="{ABCFE8BE-2C2E-4964-AD81-CC74B775950B}">
      <text>
        <r>
          <rPr>
            <b/>
            <sz val="9"/>
            <color indexed="81"/>
            <rFont val="Tahoma"/>
            <family val="2"/>
          </rPr>
          <t>=IF($A24="","",CIQ($A24,"IQ_TR_TARGETNAME"))</t>
        </r>
      </text>
    </comment>
    <comment ref="D24" authorId="0" shapeId="0" xr:uid="{3F355AD6-D409-4E5A-A892-C98BF99CD7F8}">
      <text>
        <r>
          <rPr>
            <b/>
            <sz val="9"/>
            <color indexed="81"/>
            <rFont val="Tahoma"/>
            <family val="2"/>
          </rPr>
          <t>=IF($A24="","",IF(CIQ($A24,"IQ_TR_BUYERNAME")=0,"-",CIQ($A24,"IQ_TR_BUYERNAME")))</t>
        </r>
      </text>
    </comment>
    <comment ref="E24" authorId="0" shapeId="0" xr:uid="{EE677456-63F2-4B91-B75B-5057368C81D0}">
      <text>
        <r>
          <rPr>
            <b/>
            <sz val="9"/>
            <color indexed="81"/>
            <rFont val="Tahoma"/>
            <family val="2"/>
          </rPr>
          <t>=IF($A24="","",IF(CIQ(CIQ($A24,"IQ_TR_TARGET_ID"),"IQ_COUNTRY_NAME")=0,"-",CIQ(CIQ($A24,"IQ_TR_TARGET_ID"),"IQ_COUNTRY_NAME")))</t>
        </r>
      </text>
    </comment>
    <comment ref="F24" authorId="0" shapeId="0" xr:uid="{8257A041-1E5B-4E63-AD22-767023E6376C}">
      <text>
        <r>
          <rPr>
            <b/>
            <sz val="9"/>
            <color indexed="81"/>
            <rFont val="Tahoma"/>
            <family val="2"/>
          </rPr>
          <t>=IF($A24="","",CIQ($A24,"IQ_TR_TOTALVALUE"))</t>
        </r>
      </text>
    </comment>
    <comment ref="G24" authorId="0" shapeId="0" xr:uid="{BA0F79B2-0074-4F5C-926E-676559EC2C79}">
      <text>
        <r>
          <rPr>
            <b/>
            <sz val="9"/>
            <color indexed="81"/>
            <rFont val="Tahoma"/>
            <family val="2"/>
          </rPr>
          <t>=IF($A24="","",CIQ($A24,"IQ_TR_STATUS"))</t>
        </r>
      </text>
    </comment>
    <comment ref="H24" authorId="0" shapeId="0" xr:uid="{98F0C9B6-8E34-4E08-84C1-50D82CD39C9E}">
      <text>
        <r>
          <rPr>
            <b/>
            <sz val="9"/>
            <color indexed="81"/>
            <rFont val="Tahoma"/>
            <family val="2"/>
          </rPr>
          <t>=IF($A24="","",CIQ($A24,"IQ_TR_CURRENCY"))</t>
        </r>
      </text>
    </comment>
    <comment ref="I24" authorId="0" shapeId="0" xr:uid="{885EDAEA-DD43-4CD3-A692-03F375541B41}">
      <text>
        <r>
          <rPr>
            <b/>
            <sz val="9"/>
            <color indexed="81"/>
            <rFont val="Tahoma"/>
            <family val="2"/>
          </rPr>
          <t>=IF($A24="","",CIQ($A24,"IQ_TR_IMPLIED_EV_EBITDA"))</t>
        </r>
      </text>
    </comment>
    <comment ref="J24" authorId="0" shapeId="0" xr:uid="{AE799EDE-6419-446A-997C-37D468D95B89}">
      <text>
        <r>
          <rPr>
            <b/>
            <sz val="9"/>
            <color indexed="81"/>
            <rFont val="Tahoma"/>
            <family val="2"/>
          </rPr>
          <t>=IF($A24="","",CIQ($A24,"IQ_TR_IMPLIED_EV_REV"))</t>
        </r>
      </text>
    </comment>
    <comment ref="K24" authorId="0" shapeId="0" xr:uid="{FD7B7B2D-0AEF-4F33-B153-AA35A3415ACD}">
      <text>
        <r>
          <rPr>
            <b/>
            <sz val="9"/>
            <color indexed="81"/>
            <rFont val="Tahoma"/>
            <family val="2"/>
          </rPr>
          <t>=IF($A24="","",CIQ($A24,"IQ_TR_IMPLIED_EV_EBIT"))</t>
        </r>
      </text>
    </comment>
    <comment ref="A25" authorId="0" shapeId="0" xr:uid="{A9253C10-0CAC-47D3-B4C4-B526E4263889}">
      <text>
        <r>
          <rPr>
            <b/>
            <sz val="9"/>
            <color indexed="81"/>
            <rFont val="Tahoma"/>
            <family val="2"/>
          </rPr>
          <t>=IF(CIQ($C$9,"IQ_TR_TRANSACTION_QUICK_COMPS_MA",$L25)=0,"",CIQ($C$9,"IQ_TR_TRANSACTION_QUICK_COMPS_MA",$L25))</t>
        </r>
      </text>
    </comment>
    <comment ref="B25" authorId="0" shapeId="0" xr:uid="{E11C276C-DBA3-4998-9F01-DB5218C71B3E}">
      <text>
        <r>
          <rPr>
            <b/>
            <sz val="9"/>
            <color indexed="81"/>
            <rFont val="Tahoma"/>
            <family val="2"/>
          </rPr>
          <t>=IF($A25="","",CIQ($A25,"IQ_TR_ANN_DATE"))</t>
        </r>
      </text>
    </comment>
    <comment ref="C25" authorId="0" shapeId="0" xr:uid="{CBE2EF20-B7CB-4375-BD1D-B9D434A92B42}">
      <text>
        <r>
          <rPr>
            <b/>
            <sz val="9"/>
            <color indexed="81"/>
            <rFont val="Tahoma"/>
            <family val="2"/>
          </rPr>
          <t>=IF($A25="","",CIQ($A25,"IQ_TR_TARGETNAME"))</t>
        </r>
      </text>
    </comment>
    <comment ref="D25" authorId="0" shapeId="0" xr:uid="{89883403-EC80-4E57-900D-B0EA1BA6A515}">
      <text>
        <r>
          <rPr>
            <b/>
            <sz val="9"/>
            <color indexed="81"/>
            <rFont val="Tahoma"/>
            <family val="2"/>
          </rPr>
          <t>=IF($A25="","",IF(CIQ($A25,"IQ_TR_BUYERNAME")=0,"-",CIQ($A25,"IQ_TR_BUYERNAME")))</t>
        </r>
      </text>
    </comment>
    <comment ref="E25" authorId="0" shapeId="0" xr:uid="{508FD323-18FE-4B1A-B49D-851146CBDBCE}">
      <text>
        <r>
          <rPr>
            <b/>
            <sz val="9"/>
            <color indexed="81"/>
            <rFont val="Tahoma"/>
            <family val="2"/>
          </rPr>
          <t>=IF($A25="","",IF(CIQ(CIQ($A25,"IQ_TR_TARGET_ID"),"IQ_COUNTRY_NAME")=0,"-",CIQ(CIQ($A25,"IQ_TR_TARGET_ID"),"IQ_COUNTRY_NAME")))</t>
        </r>
      </text>
    </comment>
    <comment ref="F25" authorId="0" shapeId="0" xr:uid="{58AC858F-DFEC-4D9C-98E6-D5EF4D6A2AB5}">
      <text>
        <r>
          <rPr>
            <b/>
            <sz val="9"/>
            <color indexed="81"/>
            <rFont val="Tahoma"/>
            <family val="2"/>
          </rPr>
          <t>=IF($A25="","",CIQ($A25,"IQ_TR_TOTALVALUE"))</t>
        </r>
      </text>
    </comment>
    <comment ref="G25" authorId="0" shapeId="0" xr:uid="{D9F58F71-423A-477D-AF83-EF90704BBD24}">
      <text>
        <r>
          <rPr>
            <b/>
            <sz val="9"/>
            <color indexed="81"/>
            <rFont val="Tahoma"/>
            <family val="2"/>
          </rPr>
          <t>=IF($A25="","",CIQ($A25,"IQ_TR_STATUS"))</t>
        </r>
      </text>
    </comment>
    <comment ref="H25" authorId="0" shapeId="0" xr:uid="{8448D2DF-4EB6-4C6F-A32E-CE01C1123A96}">
      <text>
        <r>
          <rPr>
            <b/>
            <sz val="9"/>
            <color indexed="81"/>
            <rFont val="Tahoma"/>
            <family val="2"/>
          </rPr>
          <t>=IF($A25="","",CIQ($A25,"IQ_TR_CURRENCY"))</t>
        </r>
      </text>
    </comment>
    <comment ref="I25" authorId="0" shapeId="0" xr:uid="{DB30999C-ECB7-4EEF-88A4-D3E56ABE5AC1}">
      <text>
        <r>
          <rPr>
            <b/>
            <sz val="9"/>
            <color indexed="81"/>
            <rFont val="Tahoma"/>
            <family val="2"/>
          </rPr>
          <t>=IF($A25="","",CIQ($A25,"IQ_TR_IMPLIED_EV_EBITDA"))</t>
        </r>
      </text>
    </comment>
    <comment ref="J25" authorId="0" shapeId="0" xr:uid="{2FCC62A6-2029-40C2-93DB-117FA343B187}">
      <text>
        <r>
          <rPr>
            <b/>
            <sz val="9"/>
            <color indexed="81"/>
            <rFont val="Tahoma"/>
            <family val="2"/>
          </rPr>
          <t>=IF($A25="","",CIQ($A25,"IQ_TR_IMPLIED_EV_REV"))</t>
        </r>
      </text>
    </comment>
    <comment ref="K25" authorId="0" shapeId="0" xr:uid="{601B3418-0BF5-4E44-ACC8-99AEDED3C250}">
      <text>
        <r>
          <rPr>
            <b/>
            <sz val="9"/>
            <color indexed="81"/>
            <rFont val="Tahoma"/>
            <family val="2"/>
          </rPr>
          <t>=IF($A25="","",CIQ($A25,"IQ_TR_IMPLIED_EV_EBIT"))</t>
        </r>
      </text>
    </comment>
    <comment ref="A26" authorId="0" shapeId="0" xr:uid="{8D897069-E360-47EB-9BE2-D02BAC3F20D4}">
      <text>
        <r>
          <rPr>
            <b/>
            <sz val="9"/>
            <color indexed="81"/>
            <rFont val="Tahoma"/>
            <family val="2"/>
          </rPr>
          <t>=IF(CIQ($C$9,"IQ_TR_TRANSACTION_QUICK_COMPS_MA",$L26)=0,"",CIQ($C$9,"IQ_TR_TRANSACTION_QUICK_COMPS_MA",$L26))</t>
        </r>
      </text>
    </comment>
    <comment ref="B26" authorId="0" shapeId="0" xr:uid="{692768B9-E820-45B2-B040-9794DD4CDC81}">
      <text>
        <r>
          <rPr>
            <b/>
            <sz val="9"/>
            <color indexed="81"/>
            <rFont val="Tahoma"/>
            <family val="2"/>
          </rPr>
          <t>=IF($A26="","",CIQ($A26,"IQ_TR_ANN_DATE"))</t>
        </r>
      </text>
    </comment>
    <comment ref="C26" authorId="0" shapeId="0" xr:uid="{70FBEE48-B851-4C83-A833-531D84312E03}">
      <text>
        <r>
          <rPr>
            <b/>
            <sz val="9"/>
            <color indexed="81"/>
            <rFont val="Tahoma"/>
            <family val="2"/>
          </rPr>
          <t>=IF($A26="","",CIQ($A26,"IQ_TR_TARGETNAME"))</t>
        </r>
      </text>
    </comment>
    <comment ref="D26" authorId="0" shapeId="0" xr:uid="{995DB928-7D64-4D03-BC80-A5598633C4A6}">
      <text>
        <r>
          <rPr>
            <b/>
            <sz val="9"/>
            <color indexed="81"/>
            <rFont val="Tahoma"/>
            <family val="2"/>
          </rPr>
          <t>=IF($A26="","",IF(CIQ($A26,"IQ_TR_BUYERNAME")=0,"-",CIQ($A26,"IQ_TR_BUYERNAME")))</t>
        </r>
      </text>
    </comment>
    <comment ref="E26" authorId="0" shapeId="0" xr:uid="{E3C80640-4409-4CB2-81AF-F97BDA682370}">
      <text>
        <r>
          <rPr>
            <b/>
            <sz val="9"/>
            <color indexed="81"/>
            <rFont val="Tahoma"/>
            <family val="2"/>
          </rPr>
          <t>=IF($A26="","",IF(CIQ(CIQ($A26,"IQ_TR_TARGET_ID"),"IQ_COUNTRY_NAME")=0,"-",CIQ(CIQ($A26,"IQ_TR_TARGET_ID"),"IQ_COUNTRY_NAME")))</t>
        </r>
      </text>
    </comment>
    <comment ref="F26" authorId="0" shapeId="0" xr:uid="{A67A1588-AB02-406D-BD09-E2E5D41636CB}">
      <text>
        <r>
          <rPr>
            <b/>
            <sz val="9"/>
            <color indexed="81"/>
            <rFont val="Tahoma"/>
            <family val="2"/>
          </rPr>
          <t>=IF($A26="","",CIQ($A26,"IQ_TR_TOTALVALUE"))</t>
        </r>
      </text>
    </comment>
    <comment ref="G26" authorId="0" shapeId="0" xr:uid="{8D54F98B-379C-4905-B7AD-3A764E479A74}">
      <text>
        <r>
          <rPr>
            <b/>
            <sz val="9"/>
            <color indexed="81"/>
            <rFont val="Tahoma"/>
            <family val="2"/>
          </rPr>
          <t>=IF($A26="","",CIQ($A26,"IQ_TR_STATUS"))</t>
        </r>
      </text>
    </comment>
    <comment ref="H26" authorId="0" shapeId="0" xr:uid="{A0FBED9B-771D-4DAD-B212-B252483F97B7}">
      <text>
        <r>
          <rPr>
            <b/>
            <sz val="9"/>
            <color indexed="81"/>
            <rFont val="Tahoma"/>
            <family val="2"/>
          </rPr>
          <t>=IF($A26="","",CIQ($A26,"IQ_TR_CURRENCY"))</t>
        </r>
      </text>
    </comment>
    <comment ref="I26" authorId="0" shapeId="0" xr:uid="{1911ACCD-EC11-4A0B-93C1-8F15550A2872}">
      <text>
        <r>
          <rPr>
            <b/>
            <sz val="9"/>
            <color indexed="81"/>
            <rFont val="Tahoma"/>
            <family val="2"/>
          </rPr>
          <t>=IF($A26="","",CIQ($A26,"IQ_TR_IMPLIED_EV_EBITDA"))</t>
        </r>
      </text>
    </comment>
    <comment ref="J26" authorId="0" shapeId="0" xr:uid="{B0B0EAFE-E6F0-4A34-B48A-69B5AD345922}">
      <text>
        <r>
          <rPr>
            <b/>
            <sz val="9"/>
            <color indexed="81"/>
            <rFont val="Tahoma"/>
            <family val="2"/>
          </rPr>
          <t>=IF($A26="","",CIQ($A26,"IQ_TR_IMPLIED_EV_REV"))</t>
        </r>
      </text>
    </comment>
    <comment ref="K26" authorId="0" shapeId="0" xr:uid="{30723D72-22CB-49DD-B77E-61EEC4AFEFDA}">
      <text>
        <r>
          <rPr>
            <b/>
            <sz val="9"/>
            <color indexed="81"/>
            <rFont val="Tahoma"/>
            <family val="2"/>
          </rPr>
          <t>=IF($A26="","",CIQ($A26,"IQ_TR_IMPLIED_EV_EBIT"))</t>
        </r>
      </text>
    </comment>
  </commentList>
</comments>
</file>

<file path=xl/sharedStrings.xml><?xml version="1.0" encoding="utf-8"?>
<sst xmlns="http://schemas.openxmlformats.org/spreadsheetml/2006/main" count="1319" uniqueCount="851">
  <si>
    <t>Date</t>
  </si>
  <si>
    <t>Prepared</t>
  </si>
  <si>
    <t>Name</t>
  </si>
  <si>
    <t>Reviewed</t>
  </si>
  <si>
    <t>Approved</t>
  </si>
  <si>
    <t>Input</t>
  </si>
  <si>
    <t>User input/ Assumptions</t>
  </si>
  <si>
    <t>Results</t>
  </si>
  <si>
    <t>Results. Please do not change</t>
  </si>
  <si>
    <t>Linked to another tab</t>
  </si>
  <si>
    <t>Offsheet</t>
  </si>
  <si>
    <t>General Information</t>
  </si>
  <si>
    <t>Subject Company</t>
  </si>
  <si>
    <t>Valuation Date</t>
  </si>
  <si>
    <t>Reference no</t>
  </si>
  <si>
    <t>Project ref number</t>
  </si>
  <si>
    <t>Name of preparer</t>
  </si>
  <si>
    <t>Name of reviewer</t>
  </si>
  <si>
    <t>Name of approver</t>
  </si>
  <si>
    <t>Cells Styles</t>
  </si>
  <si>
    <t>Model version</t>
  </si>
  <si>
    <t>This model version number must match with report version</t>
  </si>
  <si>
    <t>Discount rate</t>
  </si>
  <si>
    <t>Time period</t>
  </si>
  <si>
    <t>Size Premium</t>
  </si>
  <si>
    <t>General</t>
  </si>
  <si>
    <t>Unit</t>
  </si>
  <si>
    <t>Value</t>
  </si>
  <si>
    <t>%</t>
  </si>
  <si>
    <t>Percentage of shares to be acquired</t>
  </si>
  <si>
    <t>Subject company</t>
  </si>
  <si>
    <t>Name of Target Company</t>
  </si>
  <si>
    <t>Next FY date</t>
  </si>
  <si>
    <t>Corporate tax rate</t>
  </si>
  <si>
    <t>Enter corporate rate rate</t>
  </si>
  <si>
    <t>Currency</t>
  </si>
  <si>
    <t>Enter currency</t>
  </si>
  <si>
    <t>USD</t>
  </si>
  <si>
    <t>Display unit</t>
  </si>
  <si>
    <t>Enter k for thousands, m for millions and b for billions</t>
  </si>
  <si>
    <t>k</t>
  </si>
  <si>
    <t>Income Approach - DCF</t>
  </si>
  <si>
    <t>Market Approach - Trading Multiples</t>
  </si>
  <si>
    <t>Market Approach - Recent Transactions</t>
  </si>
  <si>
    <t>Period start</t>
  </si>
  <si>
    <t>Period end</t>
  </si>
  <si>
    <t>Available historical info</t>
  </si>
  <si>
    <t>years</t>
  </si>
  <si>
    <t>Forecast period</t>
  </si>
  <si>
    <t>Months in period</t>
  </si>
  <si>
    <t>Historical data available</t>
  </si>
  <si>
    <t>Number of full years of available historical information</t>
  </si>
  <si>
    <t>Number of full years of forecast</t>
  </si>
  <si>
    <t>Year</t>
  </si>
  <si>
    <t>Years from VD</t>
  </si>
  <si>
    <t>Discounting period (mid-year)</t>
  </si>
  <si>
    <t>COGS</t>
  </si>
  <si>
    <t>Gross Profit</t>
  </si>
  <si>
    <t>EBITDA</t>
  </si>
  <si>
    <t>EBIT</t>
  </si>
  <si>
    <t>PBT</t>
  </si>
  <si>
    <t>Tax</t>
  </si>
  <si>
    <t>PAT</t>
  </si>
  <si>
    <t>Numéro du bridge</t>
  </si>
  <si>
    <t>Données de base</t>
  </si>
  <si>
    <t>Total courant</t>
  </si>
  <si>
    <t>Résultats intermédiaires</t>
  </si>
  <si>
    <t>Données support</t>
  </si>
  <si>
    <t>Données positives au dessus</t>
  </si>
  <si>
    <t>Données positives au dessous</t>
  </si>
  <si>
    <t>Données négatives au dessus</t>
  </si>
  <si>
    <t>Données négatives au dessous</t>
  </si>
  <si>
    <t>Position des labels</t>
  </si>
  <si>
    <t>Texte des labels</t>
  </si>
  <si>
    <t>ymin pour le bridge courant</t>
  </si>
  <si>
    <t>Numéro du bridge courant</t>
  </si>
  <si>
    <t>Numéro de la ligne courante</t>
  </si>
  <si>
    <t>Source: Management accounts/ financial statements</t>
  </si>
  <si>
    <t>Key financial ratios</t>
  </si>
  <si>
    <t>Historical Financial Performance</t>
  </si>
  <si>
    <t>% of revenue</t>
  </si>
  <si>
    <t>GP margin</t>
  </si>
  <si>
    <t>EBITDA margin</t>
  </si>
  <si>
    <t>EBIT margin</t>
  </si>
  <si>
    <t>Financial Forecast</t>
  </si>
  <si>
    <t>Trade receivables</t>
  </si>
  <si>
    <t>Inventory</t>
  </si>
  <si>
    <t>Trade payables</t>
  </si>
  <si>
    <t>Net working capital</t>
  </si>
  <si>
    <t>Solvency</t>
  </si>
  <si>
    <t>Interest coverage ratio</t>
  </si>
  <si>
    <t>Efficiency</t>
  </si>
  <si>
    <t>Collection period (days)</t>
  </si>
  <si>
    <t>Payment period (days)</t>
  </si>
  <si>
    <t>Inventory DOH</t>
  </si>
  <si>
    <t>Cash conversion (days)</t>
  </si>
  <si>
    <t>Next financial year end.</t>
  </si>
  <si>
    <t>Check if PAT ties</t>
  </si>
  <si>
    <t>check</t>
  </si>
  <si>
    <t>Source: Management forecast</t>
  </si>
  <si>
    <t>COMPARABLE COMPANY ANALYSIS</t>
  </si>
  <si>
    <t>Adjusted Beta</t>
  </si>
  <si>
    <t>D/E (%)</t>
  </si>
  <si>
    <t>Unlevered Beta</t>
  </si>
  <si>
    <t>Tax rate</t>
  </si>
  <si>
    <t>Stat Tax rate</t>
  </si>
  <si>
    <t>Exchange</t>
  </si>
  <si>
    <t>Country</t>
  </si>
  <si>
    <t>Index</t>
  </si>
  <si>
    <t>EV/EBITDA</t>
  </si>
  <si>
    <t>Units</t>
  </si>
  <si>
    <t>mln</t>
  </si>
  <si>
    <t>Interval (yrs)</t>
  </si>
  <si>
    <t>Period</t>
  </si>
  <si>
    <t>W</t>
  </si>
  <si>
    <t>Multiple</t>
  </si>
  <si>
    <t>Max</t>
  </si>
  <si>
    <t>Median</t>
  </si>
  <si>
    <t>Adj Beta</t>
  </si>
  <si>
    <t>DE ratio</t>
  </si>
  <si>
    <t>Unlv.beta</t>
  </si>
  <si>
    <t>Market Cap</t>
  </si>
  <si>
    <t>Description</t>
  </si>
  <si>
    <t>Ticker</t>
  </si>
  <si>
    <t>Total debt</t>
  </si>
  <si>
    <t>EV/EBITDA multiple</t>
  </si>
  <si>
    <t>EBIT margin (%)</t>
  </si>
  <si>
    <t>Equity</t>
  </si>
  <si>
    <t>Debt</t>
  </si>
  <si>
    <t>Note:</t>
  </si>
  <si>
    <t>CAGR</t>
  </si>
  <si>
    <t>Min</t>
  </si>
  <si>
    <t>Capex</t>
  </si>
  <si>
    <t>Statutory Tax</t>
  </si>
  <si>
    <t>High</t>
  </si>
  <si>
    <t>Low</t>
  </si>
  <si>
    <t>ROIC</t>
  </si>
  <si>
    <t>Comparable Companies &amp; Risk Free Rate</t>
  </si>
  <si>
    <t>AAA-rated</t>
  </si>
  <si>
    <t>Bond ID</t>
  </si>
  <si>
    <t>Australia</t>
  </si>
  <si>
    <t>Canada</t>
  </si>
  <si>
    <t>Denmark</t>
  </si>
  <si>
    <t>Germany</t>
  </si>
  <si>
    <t>Netherlands</t>
  </si>
  <si>
    <t>Singapore</t>
  </si>
  <si>
    <t>Sweden</t>
  </si>
  <si>
    <t>Switzerland</t>
  </si>
  <si>
    <t>Risk free rate</t>
  </si>
  <si>
    <t>Comps Historical Financials</t>
  </si>
  <si>
    <t>Revenue</t>
  </si>
  <si>
    <t>Weighted Average Cost of Capital</t>
  </si>
  <si>
    <t>Equity:</t>
  </si>
  <si>
    <t>Peer Median</t>
  </si>
  <si>
    <t>Relevered Beta</t>
  </si>
  <si>
    <t>Country Risk</t>
  </si>
  <si>
    <t>Cost of Equity</t>
  </si>
  <si>
    <t>Debt:</t>
  </si>
  <si>
    <t>Cost of Debt</t>
  </si>
  <si>
    <t>Capital Structure:</t>
  </si>
  <si>
    <t>D/E ratio</t>
  </si>
  <si>
    <t>WACC</t>
  </si>
  <si>
    <t>Data name</t>
  </si>
  <si>
    <t>Data source</t>
  </si>
  <si>
    <t>Latest update</t>
  </si>
  <si>
    <t>NA</t>
  </si>
  <si>
    <t>United States</t>
  </si>
  <si>
    <t>Small Capitalization Premium</t>
  </si>
  <si>
    <t>Decile</t>
  </si>
  <si>
    <t>Market Capitalization of Smallest Company</t>
  </si>
  <si>
    <t>Market Capitalization of Largest Company</t>
  </si>
  <si>
    <t>Beta-Adjusted Size Premium (Return in Excess of CAPM)</t>
  </si>
  <si>
    <t>(in US$ 'm)</t>
  </si>
  <si>
    <t>(%)</t>
  </si>
  <si>
    <t>Mid-Cap, 3-5</t>
  </si>
  <si>
    <t>min</t>
  </si>
  <si>
    <t>max</t>
  </si>
  <si>
    <t>premium</t>
  </si>
  <si>
    <t>Low-Cap, 6-8</t>
  </si>
  <si>
    <t>Micro-Cap, 9-10</t>
  </si>
  <si>
    <t>10z</t>
  </si>
  <si>
    <t>10y</t>
  </si>
  <si>
    <t>Breakdown of CRSP Deciles 1-10</t>
  </si>
  <si>
    <t>10x</t>
  </si>
  <si>
    <t>1 - Largest</t>
  </si>
  <si>
    <t>10w</t>
  </si>
  <si>
    <t>10 - Smallest</t>
  </si>
  <si>
    <t>Breakdown of CRSP 10th Decile</t>
  </si>
  <si>
    <t>10a</t>
  </si>
  <si>
    <t>10b</t>
  </si>
  <si>
    <t>Average</t>
  </si>
  <si>
    <t>Real Estate</t>
  </si>
  <si>
    <t>RESTRICTED STOCK STUDIES</t>
  </si>
  <si>
    <t>Study</t>
  </si>
  <si>
    <t>Period of Study</t>
  </si>
  <si>
    <t>Discount for Lack of Marketability</t>
  </si>
  <si>
    <t>Columbia Financial Advisors Inc.</t>
  </si>
  <si>
    <t>1997-1998</t>
  </si>
  <si>
    <t>Management Planning, Inc</t>
  </si>
  <si>
    <t>2000-2007</t>
  </si>
  <si>
    <t>LiquiStat</t>
  </si>
  <si>
    <t>2005-2006</t>
  </si>
  <si>
    <t>FMV Opinions, Inc.</t>
  </si>
  <si>
    <t>2002-2006</t>
  </si>
  <si>
    <t>1997-2005</t>
  </si>
  <si>
    <t>Trugman Valuation Associates, Inc.</t>
  </si>
  <si>
    <t>2007-2008</t>
  </si>
  <si>
    <t>Source: Various restricted stock studies</t>
  </si>
  <si>
    <t>DLOC</t>
  </si>
  <si>
    <t>CONTROL PREMIUM</t>
  </si>
  <si>
    <t>Control premium</t>
  </si>
  <si>
    <t>Remark</t>
  </si>
  <si>
    <t>Size premium computed by Duff &amp; Phelps</t>
  </si>
  <si>
    <t>Check and change CAGR formula depending on how many years of data available</t>
  </si>
  <si>
    <t>Full year? (First period)</t>
  </si>
  <si>
    <t>n.m: not meaningful. Not a full year.</t>
  </si>
  <si>
    <t>No of months (first period)</t>
  </si>
  <si>
    <t>TV method</t>
  </si>
  <si>
    <t>Add: Depreciation</t>
  </si>
  <si>
    <t>EBIDA</t>
  </si>
  <si>
    <t>Net Working Capital</t>
  </si>
  <si>
    <t>Changes in NWC</t>
  </si>
  <si>
    <t>Current case</t>
  </si>
  <si>
    <t>FCFF</t>
  </si>
  <si>
    <t>PV of FCFF</t>
  </si>
  <si>
    <t>PV factor</t>
  </si>
  <si>
    <t>TV (Gordon growth)</t>
  </si>
  <si>
    <t>TV growth</t>
  </si>
  <si>
    <t>Sum of PV of FCFF</t>
  </si>
  <si>
    <t>PV of TV</t>
  </si>
  <si>
    <t>Equity Value (100%)</t>
  </si>
  <si>
    <t>% shareholding</t>
  </si>
  <si>
    <t>DLOM</t>
  </si>
  <si>
    <t>Control?</t>
  </si>
  <si>
    <t>Y</t>
  </si>
  <si>
    <t>Less: Tax</t>
  </si>
  <si>
    <t>Years from VD (mid point)</t>
  </si>
  <si>
    <t>Row index</t>
  </si>
  <si>
    <t>Peer group Analysis</t>
  </si>
  <si>
    <t>3rd quartile</t>
  </si>
  <si>
    <t>1st quartile</t>
  </si>
  <si>
    <t>N</t>
  </si>
  <si>
    <t>% of full year</t>
  </si>
  <si>
    <t>Normalisation of EBITDA</t>
  </si>
  <si>
    <t>TTM EBITDA</t>
  </si>
  <si>
    <t>Adjustment 1</t>
  </si>
  <si>
    <t>Adjustment 2</t>
  </si>
  <si>
    <t>Adjustment 3</t>
  </si>
  <si>
    <t>Adjustment 4</t>
  </si>
  <si>
    <t>Normalised EBITDA</t>
  </si>
  <si>
    <t>Valuation via Market Approach</t>
  </si>
  <si>
    <t>Base</t>
  </si>
  <si>
    <t>Select</t>
  </si>
  <si>
    <t>Enterprise Value</t>
  </si>
  <si>
    <t>Apply control premium if valuing controlling stake</t>
  </si>
  <si>
    <t>Always apply DLOM for Market Approach to account for differences in Marketability between Comps and Subject</t>
  </si>
  <si>
    <t>Select between controlling and non-controlling</t>
  </si>
  <si>
    <t>Enter TV growth</t>
  </si>
  <si>
    <t>Key in the adjustments needed</t>
  </si>
  <si>
    <t>Normalised TTM EBITDA</t>
  </si>
  <si>
    <t>From tab C4 - Market Approach</t>
  </si>
  <si>
    <t>DCF Model</t>
  </si>
  <si>
    <t>Offset</t>
  </si>
  <si>
    <t>Sensitivity Analysis</t>
  </si>
  <si>
    <t>AAA</t>
  </si>
  <si>
    <t>AA</t>
  </si>
  <si>
    <t>CCC</t>
  </si>
  <si>
    <t>A</t>
  </si>
  <si>
    <t>B</t>
  </si>
  <si>
    <t>BBB</t>
  </si>
  <si>
    <t>BB</t>
  </si>
  <si>
    <t>Total Assets</t>
  </si>
  <si>
    <t>Total Liabilities</t>
  </si>
  <si>
    <t>Date &amp; Time period</t>
  </si>
  <si>
    <t>No of months</t>
  </si>
  <si>
    <t>Full year?</t>
  </si>
  <si>
    <t>y-o-y growth</t>
  </si>
  <si>
    <t>Applied 10 year Singapore government bond yield as risk-free rate</t>
  </si>
  <si>
    <t>State if this is based on median D/E ratio of comparable companies or a long term target capital structure specific to the company</t>
  </si>
  <si>
    <t>Equity Risk Premium (ERP)</t>
  </si>
  <si>
    <t>Yield</t>
  </si>
  <si>
    <t>Spread</t>
  </si>
  <si>
    <t>5 year sales CAGR (%)</t>
  </si>
  <si>
    <t>Yield to maturity and credit spread on US corporate bonds</t>
  </si>
  <si>
    <t>Check if Net Assets ties</t>
  </si>
  <si>
    <t>TLCF</t>
  </si>
  <si>
    <t>Select Y if tax loss carryforward is allowed.</t>
  </si>
  <si>
    <t>TLCF balance</t>
  </si>
  <si>
    <t>Gordon</t>
  </si>
  <si>
    <t>Implied EV/EBITDA ratio</t>
  </si>
  <si>
    <t>(no of days)</t>
  </si>
  <si>
    <t>AR DOH</t>
  </si>
  <si>
    <t>AP DOH</t>
  </si>
  <si>
    <t>Change this field if EV/EBITDA is N.A</t>
  </si>
  <si>
    <t>Comparable transactions</t>
  </si>
  <si>
    <t>Announce Date</t>
  </si>
  <si>
    <t>Target Name</t>
  </si>
  <si>
    <t>Acquirer Name</t>
  </si>
  <si>
    <t>Target Country</t>
  </si>
  <si>
    <t>Announced Total Value (mil.)</t>
  </si>
  <si>
    <t>Deal Status</t>
  </si>
  <si>
    <t>Target Currency</t>
  </si>
  <si>
    <t>Cross check of EV/EBITDA multiple</t>
  </si>
  <si>
    <t>Raw multiples - CoCos</t>
  </si>
  <si>
    <t>Adjusted multiples - CoCos</t>
  </si>
  <si>
    <t>Raw multiples - CoTrans</t>
  </si>
  <si>
    <t>n.m: not meaningful. The slope coefficient is not statistically significant.</t>
  </si>
  <si>
    <t>VC</t>
  </si>
  <si>
    <t>FC</t>
  </si>
  <si>
    <t>Specific Risk Premium</t>
  </si>
  <si>
    <t>1st period CF</t>
  </si>
  <si>
    <t>EV or Equity?</t>
  </si>
  <si>
    <t>Latest FY End</t>
  </si>
  <si>
    <t>IQ_TEV_EBITDA_EXCL_OPER_LEASES</t>
  </si>
  <si>
    <t>IQ_TEV_EBITDA</t>
  </si>
  <si>
    <t>IQ50027527</t>
  </si>
  <si>
    <t>IQ50027537</t>
  </si>
  <si>
    <t>IQ136585876</t>
  </si>
  <si>
    <t>IQ50027534</t>
  </si>
  <si>
    <t>IQ50027561</t>
  </si>
  <si>
    <t>IQ136585832</t>
  </si>
  <si>
    <t>IQ50027572</t>
  </si>
  <si>
    <t>IQ50027576</t>
  </si>
  <si>
    <t>%TCMSY10</t>
  </si>
  <si>
    <t>Source: CIQ</t>
  </si>
  <si>
    <t>CIQ</t>
  </si>
  <si>
    <t>Transaction ID</t>
  </si>
  <si>
    <t>The whole column is inputs from CIQ. To paste value and change back to normal color</t>
  </si>
  <si>
    <t>Investment rating</t>
  </si>
  <si>
    <t>IG</t>
  </si>
  <si>
    <t>HY</t>
  </si>
  <si>
    <t>Tenor</t>
  </si>
  <si>
    <t>Ratings</t>
  </si>
  <si>
    <t>Sector Name</t>
  </si>
  <si>
    <t>Sector Code</t>
  </si>
  <si>
    <t>All Corporates</t>
  </si>
  <si>
    <t>AllCorp</t>
  </si>
  <si>
    <t>Consumer Discretionary</t>
  </si>
  <si>
    <t>ConsumerDiscretionary</t>
  </si>
  <si>
    <t>Consumer Staples</t>
  </si>
  <si>
    <t>ConsumerStaples</t>
  </si>
  <si>
    <t>Energy</t>
  </si>
  <si>
    <t>Financials</t>
  </si>
  <si>
    <t>Health Care</t>
  </si>
  <si>
    <t>Healthcare</t>
  </si>
  <si>
    <t>Industrials</t>
  </si>
  <si>
    <t>Information Technology</t>
  </si>
  <si>
    <t>InformationTechnology</t>
  </si>
  <si>
    <t>Materials</t>
  </si>
  <si>
    <t>Non Financials</t>
  </si>
  <si>
    <t>NonFin</t>
  </si>
  <si>
    <t>RealEstate</t>
  </si>
  <si>
    <t>Communication Services</t>
  </si>
  <si>
    <t>TelecommunicationServices</t>
  </si>
  <si>
    <t>Utilities</t>
  </si>
  <si>
    <t>Methods</t>
  </si>
  <si>
    <t>Metric</t>
  </si>
  <si>
    <t>Continuous</t>
  </si>
  <si>
    <t>_CONTINUOUS</t>
  </si>
  <si>
    <t>Semi Annual</t>
  </si>
  <si>
    <t>_SEMIANNUAL</t>
  </si>
  <si>
    <t>Annual</t>
  </si>
  <si>
    <t>_ANNUAL</t>
  </si>
  <si>
    <t>Sector &gt;&gt;</t>
  </si>
  <si>
    <t>Curve Method &gt;&gt;</t>
  </si>
  <si>
    <t>Rate</t>
  </si>
  <si>
    <t>E</t>
  </si>
  <si>
    <t>New CapIQ Model</t>
  </si>
  <si>
    <t>Credit spread (new CapIQ Model)</t>
  </si>
  <si>
    <t>EV/EBITDA Excl. Oper. Leases</t>
  </si>
  <si>
    <t>EV/EBIT</t>
  </si>
  <si>
    <t>1YR Forward EV/EBIT</t>
  </si>
  <si>
    <t>EV/Revenue</t>
  </si>
  <si>
    <t>1YR Forward EV/Revenue</t>
  </si>
  <si>
    <t>IQ_TEV_EBITDA_FWD</t>
  </si>
  <si>
    <t>IQ_TEV_EBIT</t>
  </si>
  <si>
    <t>IQ_TEV_EBIT_FWD</t>
  </si>
  <si>
    <t>IQ_TEV_TOTAL_REV</t>
  </si>
  <si>
    <t>IQ_TEV_TOTAL_REV_FWD</t>
  </si>
  <si>
    <t>IQ_LTM</t>
  </si>
  <si>
    <t>IQ_NTM</t>
  </si>
  <si>
    <t>1YR Forward EV/EBITDA</t>
  </si>
  <si>
    <t>5Y</t>
  </si>
  <si>
    <t>Borrowing Rates</t>
  </si>
  <si>
    <t>refer to O1 tab</t>
  </si>
  <si>
    <t>Selected Multiple</t>
  </si>
  <si>
    <t xml:space="preserve">Target Name </t>
  </si>
  <si>
    <t>Target's Business Description</t>
  </si>
  <si>
    <t>Non-operating assets</t>
  </si>
  <si>
    <t>Source: FVA's computation</t>
  </si>
  <si>
    <t>Source: CIQ &amp; FVA's computations</t>
  </si>
  <si>
    <t>Source: CIQ &amp; FVA's computation</t>
  </si>
  <si>
    <t>Source: Management &amp; FVA</t>
  </si>
  <si>
    <t>Source: FVA</t>
  </si>
  <si>
    <t>Source: Management &amp; FVA's computations</t>
  </si>
  <si>
    <t>[Revenue stream 1]</t>
  </si>
  <si>
    <t>[Revenue stream 2]</t>
  </si>
  <si>
    <t xml:space="preserve">[Selling &amp; marketing] </t>
  </si>
  <si>
    <t>[variable only]</t>
  </si>
  <si>
    <t>[Salary &amp; wages]</t>
  </si>
  <si>
    <t>[fixed only]</t>
  </si>
  <si>
    <t>[Other operating expenses 1]</t>
  </si>
  <si>
    <t>[Other operating expenses 2]</t>
  </si>
  <si>
    <t>[Interest expenses]</t>
  </si>
  <si>
    <t>[Non-operating expenses]</t>
  </si>
  <si>
    <t>[Non-operating income]</t>
  </si>
  <si>
    <t>3-YR CAGR</t>
  </si>
  <si>
    <t>Property, plant and equipment</t>
  </si>
  <si>
    <t>Intangible assets</t>
  </si>
  <si>
    <t>Investment in associates</t>
  </si>
  <si>
    <t>Investment in joint ventures</t>
  </si>
  <si>
    <t>Deferred employee benefits</t>
  </si>
  <si>
    <t>Right of use assets</t>
  </si>
  <si>
    <t>Deferred tax assets</t>
  </si>
  <si>
    <t xml:space="preserve">Minority investment </t>
  </si>
  <si>
    <t>Long term receivables</t>
  </si>
  <si>
    <t>Long term prepayments</t>
  </si>
  <si>
    <t>[Other long term assets 1]</t>
  </si>
  <si>
    <t>[Other long term assets 2]</t>
  </si>
  <si>
    <t>[Other long term assets 3]</t>
  </si>
  <si>
    <t>Total Non-Current Assets</t>
  </si>
  <si>
    <t>Cash and cash equivalents</t>
  </si>
  <si>
    <t>Inventories</t>
  </si>
  <si>
    <t>Other current assets</t>
  </si>
  <si>
    <t>Prepayments</t>
  </si>
  <si>
    <t>Short term investments</t>
  </si>
  <si>
    <t>Prepaid taxes</t>
  </si>
  <si>
    <t xml:space="preserve">Deposits </t>
  </si>
  <si>
    <t>[Other current assets 1]</t>
  </si>
  <si>
    <t>[Other current assets 2]</t>
  </si>
  <si>
    <t>[Other current assets 3]</t>
  </si>
  <si>
    <t>Total Current Assets</t>
  </si>
  <si>
    <t>Due to contractors</t>
  </si>
  <si>
    <t>Deferred tax liabilities</t>
  </si>
  <si>
    <t>Total Non-Current Liabilities</t>
  </si>
  <si>
    <t xml:space="preserve">Assets </t>
  </si>
  <si>
    <t>Liabilities</t>
  </si>
  <si>
    <t>Bank borrowings</t>
  </si>
  <si>
    <t>Term loan</t>
  </si>
  <si>
    <t>Lease liabilities (long term portion)</t>
  </si>
  <si>
    <t>Employee defined benefit liabilities</t>
  </si>
  <si>
    <t>[Other non-current liabilities 1]</t>
  </si>
  <si>
    <t>[Other non-current liabilities 2]</t>
  </si>
  <si>
    <t>[Other non-current liabilities 3]</t>
  </si>
  <si>
    <t>Trade and other payables</t>
  </si>
  <si>
    <t>Income tax provision/payable</t>
  </si>
  <si>
    <t>Contract liabilities</t>
  </si>
  <si>
    <t>Lease liabilities (current portion)</t>
  </si>
  <si>
    <t>Bank borrowings (current)</t>
  </si>
  <si>
    <t xml:space="preserve">Term loan (current) </t>
  </si>
  <si>
    <t>Total Current Liabilities</t>
  </si>
  <si>
    <t>Accrued expenses</t>
  </si>
  <si>
    <t>[Other current liabilities 1]</t>
  </si>
  <si>
    <t>[Other current liabilities 2]</t>
  </si>
  <si>
    <t>[Other current liabilities 3]</t>
  </si>
  <si>
    <t>Net Assets / (Liabilities)</t>
  </si>
  <si>
    <t>NOA</t>
  </si>
  <si>
    <t>NOL</t>
  </si>
  <si>
    <t>PPE</t>
  </si>
  <si>
    <t>Lease Liability</t>
  </si>
  <si>
    <t>ROU Asset</t>
  </si>
  <si>
    <t>NWC/Sales</t>
  </si>
  <si>
    <t>NWC/Sales (3 year avg.)</t>
  </si>
  <si>
    <t>Net debt</t>
  </si>
  <si>
    <t>Total NOA</t>
  </si>
  <si>
    <t>Total NOL</t>
  </si>
  <si>
    <t>Total NWC - L</t>
  </si>
  <si>
    <t>Total NWC - A</t>
  </si>
  <si>
    <t>NWC - A</t>
  </si>
  <si>
    <t>NWC - L</t>
  </si>
  <si>
    <t>Change in NWC</t>
  </si>
  <si>
    <t>Cash conversion cycle</t>
  </si>
  <si>
    <t>Cash &amp; CE</t>
  </si>
  <si>
    <t>Total cash &amp; cash equivalents</t>
  </si>
  <si>
    <t>Non-Operating Assets / Surplus Assets</t>
  </si>
  <si>
    <t>Property Plant &amp; Equipment</t>
  </si>
  <si>
    <t>IA</t>
  </si>
  <si>
    <t>Net non-operating assets</t>
  </si>
  <si>
    <t>Intangible Assets</t>
  </si>
  <si>
    <t>Other current liabilities</t>
  </si>
  <si>
    <t>Cash &amp; cash equivalents</t>
  </si>
  <si>
    <t>Net Debt</t>
  </si>
  <si>
    <t>Equity Value</t>
  </si>
  <si>
    <t>Non-operating liabilities</t>
  </si>
  <si>
    <t>Inventory (days on hand)</t>
  </si>
  <si>
    <t>Fixed asset turnover ratio</t>
  </si>
  <si>
    <t>As a % of revenue</t>
  </si>
  <si>
    <t>Capital Expenditures</t>
  </si>
  <si>
    <t>Purchase of CAPEX</t>
  </si>
  <si>
    <t>Proceeds from CAPEX</t>
  </si>
  <si>
    <t>Net CAPEX</t>
  </si>
  <si>
    <t>Capex/Sales</t>
  </si>
  <si>
    <t>Capex/Sales (3 year avg.)</t>
  </si>
  <si>
    <t>Balance sheet ratios</t>
  </si>
  <si>
    <t>Return on total capital</t>
  </si>
  <si>
    <t>Return on operating assets</t>
  </si>
  <si>
    <t>Return on equity</t>
  </si>
  <si>
    <t>Return on total capital (After tax operating profit)/Total Assets</t>
  </si>
  <si>
    <t>Return on total capital (After tax operating profit)/Enterprise Value</t>
  </si>
  <si>
    <t>Return on equity (net profit / equity value)</t>
  </si>
  <si>
    <t xml:space="preserve">Key Financial Ratios - Historical P&amp;L </t>
  </si>
  <si>
    <t>Key Financial Ratios - Historical Balance Sheet</t>
  </si>
  <si>
    <t>Capital Expenditures - Implied</t>
  </si>
  <si>
    <t>Link to cashflow statement otherwise see implied Capex below</t>
  </si>
  <si>
    <t>Maintenance CAPEX</t>
  </si>
  <si>
    <t>Expansionary CAPEX</t>
  </si>
  <si>
    <t>Provided by Management</t>
  </si>
  <si>
    <t>Total CAPEX</t>
  </si>
  <si>
    <t>Source: FVA analysis</t>
  </si>
  <si>
    <t>Source: Management</t>
  </si>
  <si>
    <t>Based on historical NWC/sales</t>
  </si>
  <si>
    <t>[Revenue stream 3]</t>
  </si>
  <si>
    <t>[Revenue stream 4]</t>
  </si>
  <si>
    <t>Selected  multiple</t>
  </si>
  <si>
    <t>YoY Growth %</t>
  </si>
  <si>
    <t>Gross Margin</t>
  </si>
  <si>
    <t>Historical Revenue</t>
  </si>
  <si>
    <t>Forecast Revenue</t>
  </si>
  <si>
    <t>Historical Gross Profit</t>
  </si>
  <si>
    <t>Forecast Gross Profit</t>
  </si>
  <si>
    <t>Historical EBITDA</t>
  </si>
  <si>
    <t>Forecast EBITDA</t>
  </si>
  <si>
    <t>EBITDA Margin</t>
  </si>
  <si>
    <t>Historical NWC</t>
  </si>
  <si>
    <t>Forecast NWC</t>
  </si>
  <si>
    <t>Historical Capex</t>
  </si>
  <si>
    <t>Forecast Capex</t>
  </si>
  <si>
    <t>NWC / Sales</t>
  </si>
  <si>
    <t>Capex / Sales</t>
  </si>
  <si>
    <t>Target Company KPI's</t>
  </si>
  <si>
    <t>Comparable Companies Analysis</t>
  </si>
  <si>
    <t>Size Analysis</t>
  </si>
  <si>
    <t xml:space="preserve">Rank </t>
  </si>
  <si>
    <t>Profitability Analysis</t>
  </si>
  <si>
    <t>Growth Analysis</t>
  </si>
  <si>
    <t>3-Year Sales CAGR</t>
  </si>
  <si>
    <t>Valuation Analysis</t>
  </si>
  <si>
    <t>3 year CAGR</t>
  </si>
  <si>
    <t>3 years Sales CAGR (%)</t>
  </si>
  <si>
    <t>Fixed Asset Turnover Ratio</t>
  </si>
  <si>
    <t>Forecast PPE</t>
  </si>
  <si>
    <t>3-Year Average</t>
  </si>
  <si>
    <t>Fixed Asset Turnover ratio</t>
  </si>
  <si>
    <t>5-Year CAGR</t>
  </si>
  <si>
    <t>Implied (CAPEX) / Disposal</t>
  </si>
  <si>
    <t>Net (CAPEX) / Disposal</t>
  </si>
  <si>
    <t>Based on historical KPIs such as days outstanding etc</t>
  </si>
  <si>
    <t>Selected Capex</t>
  </si>
  <si>
    <t>Selected Change in NWC</t>
  </si>
  <si>
    <t xml:space="preserve">Source: Mergerstat Premiums and Discounts, 2023 </t>
  </si>
  <si>
    <t>Cost of Capital Navigator</t>
  </si>
  <si>
    <t xml:space="preserve">Long term returns in excess of theorectical equity return premium </t>
  </si>
  <si>
    <t>Kroll</t>
  </si>
  <si>
    <r>
      <t>Implied ERP computed by Prof Damodaran</t>
    </r>
    <r>
      <rPr>
        <i/>
        <sz val="8"/>
        <color rgb="FF787878"/>
        <rFont val="Arial"/>
        <family val="2"/>
      </rPr>
      <t xml:space="preserve"> [refer to file ERP by month]</t>
    </r>
  </si>
  <si>
    <t>Country risk premium computed by Damodaran [select for specific country]</t>
  </si>
  <si>
    <t>Based on the current borrowing rate of the company or market rate</t>
  </si>
  <si>
    <t>Super Simple Template</t>
  </si>
  <si>
    <t xml:space="preserve"> Cannot be equal to Valuation Date</t>
  </si>
  <si>
    <t xml:space="preserve">Selling &amp; marketing expenses is a VC. </t>
  </si>
  <si>
    <t xml:space="preserve">Salary and wages are FC and analysed based on y-o-y growth. </t>
  </si>
  <si>
    <t xml:space="preserve">Other operating expenses are FC and analysed based on y-o-y growth. </t>
  </si>
  <si>
    <t>[General &amp; Admin expenses]</t>
  </si>
  <si>
    <t>Add back Depreciation &amp; Amortisation</t>
  </si>
  <si>
    <t>Add: Amortisation</t>
  </si>
  <si>
    <t xml:space="preserve">If you don’t have breakdown for revenue, input total revenue under stream 1 </t>
  </si>
  <si>
    <t>D/E (based on book values)</t>
  </si>
  <si>
    <t xml:space="preserve">Implied interest rate </t>
  </si>
  <si>
    <t>1. Capex Forecast as provided by Management</t>
  </si>
  <si>
    <t>1. NWC Forecast as provided by Management</t>
  </si>
  <si>
    <t>Implied Capex</t>
  </si>
  <si>
    <t>2. Capex Forecast based on fixed asset turns</t>
  </si>
  <si>
    <t>3. Capex Forecast based on capex/sales</t>
  </si>
  <si>
    <t>Option</t>
  </si>
  <si>
    <t>2. NWC Forecast based on NWC/sales</t>
  </si>
  <si>
    <t>3. NWC Forecast based on KPIs</t>
  </si>
  <si>
    <t>EBIT margin
(%)</t>
  </si>
  <si>
    <t>Netflix</t>
  </si>
  <si>
    <t>NasdaqGS:NFLX</t>
  </si>
  <si>
    <t>NYSE:SPOT</t>
  </si>
  <si>
    <t>NasdaqGS:ROKU</t>
  </si>
  <si>
    <t>NasdaqGS:IQ</t>
  </si>
  <si>
    <t>NasdaqGS:BILI</t>
  </si>
  <si>
    <t>NYSE:DIS</t>
  </si>
  <si>
    <t>NasdaqGS:WBD</t>
  </si>
  <si>
    <t>NasdaqGS:PSKY</t>
  </si>
  <si>
    <t>NasdaqGS:CMCSA</t>
  </si>
  <si>
    <t>Netflix, Inc.</t>
  </si>
  <si>
    <t>Netflix, Inc. provides entertainment services worldwide. The company offers television (TV) series, documentaries, feature films, games, and live programming across various genres and languages. It also provides members the ability to receive streaming content through a host of internet-connected devices, including TVs, digital video players, TV set-top boxes, and mobile devices. Netflix, Inc. was incorporated in 1997 and is headquartered in Los Gatos, California.</t>
  </si>
  <si>
    <t>NasdaqGS</t>
  </si>
  <si>
    <t>Spotify Technology S.A.</t>
  </si>
  <si>
    <t>Spotify Technology S.A., together with its subsidiaries, provides audio streaming subscription services worldwide. It operates in two segments, Premium and Ad-Supported. The Premium segment offers online and offline streaming access to its catalog of music and podcasts, including video, lossless music, and audiobooks in select markets through subscription offerings primarily sold directly to end users and partners. The Ad-Supported segment provides limited on-demand online access to its catalog of music and online and offline access to its catalog of podcasts on computers, tablets, mobile devices, and other smart devices. The company also offers sales, distribution and marketing, contract research and development, and customer and other support services. Spotify Technology S.A. was incorporated in 2006 and is headquartered in Stockholm, Sweden.</t>
  </si>
  <si>
    <t>NYSE</t>
  </si>
  <si>
    <t>Roku, Inc.</t>
  </si>
  <si>
    <t>Roku, Inc., together with its subsidiaries, operates a TV streaming platform in the United States and internationally. The company operates in two segments, Platform and Devices. Its streaming platform allows users to find and access TV shows, movies, news, sports, and others, as well as offers digital advertising services. The company also sells streaming players, Roku-branded TVs, smart home products and services, audio products, and related accessories. Roku, Inc. was incorporated in 2002 and is headquartered in San Jose, California.</t>
  </si>
  <si>
    <t>Iqiyi, Inc.</t>
  </si>
  <si>
    <t>iQIYI, Inc. provides online entertainment video services in the People’s Republic of China. The company operates a platform that provides a collection of internet video content, such as professionally produced content licensed from professional content providers and self-produced content. It also engages in the production, aggregation, and distribution of online long-form videos, micro dramas, micro animations, micro variety shows, edited video clips, and video blogs; and provision of experience services, online mobile games, comics, and others. In addition, the company provides membership, online brand and performance-based advertising, and content distribution services. Further, it is involved in the talent agency and IP licensing activities. The company was formerly known as Qiyi.com, Inc. and changed its name to iQIYI, Inc. in November 2017. The company was incorporated in 2009 and is based in Beijing, the People’s Republic of China. iQIYI, Inc. is a subsidiary of Baidu Holdings Limited.</t>
  </si>
  <si>
    <t>China</t>
  </si>
  <si>
    <t>Bilibili Inc.</t>
  </si>
  <si>
    <t>Bilibili Inc. provides online entertainment services for the young generations in the People’s Republic of China. It offers a range of digital content, including professional user generated videos (PUGV), mobile games, and value-added services, such as live broadcasting, occupationally generated videos, audio drama on Maoer, comics on Bilibili Comic, PUGV content in fan charging program and premium courses, and Bilibili premium courses and community-based avatar decoration. The company also provides advertising services; and IP derivatives and other services. In addition, it engages in the business and technology development activities; e-commerce business; and video, comics, and game distribution activities. Bilibili Inc. was founded in 2009 and is headquartered in Shanghai, the People's Republic of China.</t>
  </si>
  <si>
    <t>The Walt Disney Company</t>
  </si>
  <si>
    <t>The Walt Disney Company operates as an entertainment company in Americas, Europe, and the Asia Pacific. It operates in three segments: Entertainment, Sports, and Experiences. The company produces and distributes film and television content under the ABC Television Network, Disney, Freeform, FX, Fox, National Geographic, and Star brand television channels, as well as ABC television stations and A+E television networks; and produces original content under the Disney Branded Television, FX Productions, Lucasfilm, Marvel, National Geographic Studios, Pixar, Searchlight Pictures, Twentieth Century Studios, 20th Television, and Walt Disney Pictures banners. It also provides direct-to-consumer streaming services through Disney+, Disney+ Hotstar, and Hulu; sports-related video streaming content through ESPN, ESPN on ABC, ESPN+ DTC, and Star; sale/licensing of film and episodic content to television and video-on-demand services; theatrical, home entertainment, and music distribution services; DVD and Blu-ray discs, electronic home video licenses, and VOD rental services; staging and licensing of live entertainment events; and post-production services. In addition, the company operates theme parks and resorts, such as Walt Disney World Resort, Disneyland Resort, Disneyland Paris, Hong Kong Disneyland Resort, Shanghai Disney Resort, Disney Cruise Line, Disney Vacation Club, National Geographic Expeditions, and Adventures by Disney, as well as Aulani, a Disney resort and spa in Hawaii. Further, it licenses its intellectual property (IP) to a third party that owns and operates Tokyo Disney Resort; licenses trade names, characters, visual, literary, and other IP for use on merchandise, published materials, and games; operates a direct-to-home satellite distribution platform; sells branded merchandise through retail, online, and wholesale businesses; and develops and publishes books, comic books, and magazines. The company was founded in 1923 and is based in Burbank, California.</t>
  </si>
  <si>
    <t>Warner Bros. Discovery, Inc.</t>
  </si>
  <si>
    <t>Warner Bros. Discovery, Inc. operates as a media and entertainment company worldwide. It operates through three segments: Streaming, Studios, and Global Linear Networks. The Streaming segment offers streaming services, such as HBO Max and discovery+, and premium pay-TV services, including HBO and certain premium sports streaming products for mobile and connected TV devices. The Studios segment is involved in the production and release of feature films for initial exhibition in theaters, production and initial licensing of television programs to third parties and its networks/streaming services. This segment also distributes films and television programs to various third-party and internal television, streaming services, and physical and digital home entertainment markets; related consumer products and themed experience licensing; and publishes, develops, licenses, and distributes content for the interactive space in platforms, including console, handheld, mobile, and PC-based gaming for both internal and third-party game titles. The Global Linear Networks segment provides general and lifestyle entertainment networks, news networks; and hosts international media networks and global sports networks. In addition, the company offers a portfolio of content and products for television, film, streaming, interactive gaming, publishing, themed experiences, and consumer products under the Discovery Channel, HBO Max, CNN, DC Studios, TNT Sports, HBO, Food Network, TLC, TBS, Warner Bros. Motion Picture Group, Warner Bros. Television Group, Warner Bros. Games, Adult Swim, Turner Classic Movies, and other brands. Warner Bros. Discovery, Inc. was incorporated in 2008 and is headquartered in New York, New York.</t>
  </si>
  <si>
    <t>Paramount Skydance Corporation</t>
  </si>
  <si>
    <t>Paramount Skydance Corporation operates as a media and entertainment company worldwide. It operates in three segments: Studios, Direct-to-Consumer, and TV Media. The company operates CBS Television Network, a domestic broadcast television network; CBS Stations, a television station; international free-to-air networks comprising Network 10, Channel 5, Telefe, and Chilevisión; and domestic premium and basic cable networks, such as Nickelodeon, MTV, CMT, Comedy Central, BET, Paramount+ with SHOWTIME, Paramount Network, The Smithsonian Channel, BET Media Group, CBS Sports Network, and international extensions of these brands. It also provides domestic and international television studio operations, including CBS Studios, Paramount Television Studios, and Showtime; CBS Media Ventures, which produces and distributes first-run syndicated programming; and digital properties consist of CBS News and CBS Sports HQ. In addition, the company offers a portfolio of domestic and international pay and free streaming services, including Paramount+, Pluto TV, and BET+. Further, it produces and acquires films, series, and short-form content for release and licensing worldwide, including in theaters, on streaming services, on television, through home entertainment, and DVDs, Blu-ray; and operates a portfolio consisting of Paramount Pictures, Paramount Players, Paramount Animation, Nickelodeon Studio, and Miramax. It provides production, distribution, and advertising solutions. The company was founded in 1914 and is headquartered in New York, New York.</t>
  </si>
  <si>
    <t>Comcast Corporation</t>
  </si>
  <si>
    <t>Comcast Corporation operates as a media and technology company worldwide. The company operates through Residential Connectivity &amp; Platforms, Business Services Connectivity, Media, Studios, and Theme Parks segments. Its Residential Connectivity &amp; Platforms segment provides residential broadband and wireless connectivity services, residential and business video services, sky-branded entertainment television networks, and advertising. The Business Services Connectivity segment offers connectivity services for small business locations, which include broadband, wireline voice, and wireless services; and ethernet network services for medium-sized customers and larger enterprises. Its Media segment operates NBCUniversal’s national and regional cable networks; the NBC and Telemundo broadcast networks and owned local broadcast television stations; and Peacock, a direct-to-consumer streaming services. The company also operates international television networks comprising the Sky Sports networks, as well as other digital properties. Its Studios segment operates NBCUniversal and Sky film and television studio production and distribution operations. The Theme Parks segment operates Universal theme parks in Orlando, Florida; Hollywood, California; Osaka, Japan; and Beijing, China. It also offers a consolidated streaming platforms under the Philadelphia Flyers and the Xfinity Mobile Arena in Philadelphia, Pennsylvania; and Xumo. Comcast Corporation was founded in 1963 and is headquartered in Philadelphia, Pennsylvania.</t>
  </si>
  <si>
    <t>(Invalid Identifier)</t>
  </si>
  <si>
    <t>(Invalid Transaction Id)</t>
  </si>
  <si>
    <t>BAABTAVMT0NBTAFI/////wFQMwQAACFDSVEuTkFTREFRR1M6TkZMWC5JUV9DT01QQU5ZX05BTUUBAAAADH0AAAMAAAANTmV0ZmxpeCwgSW5jLgA0ZUUrAbHeCD3wzzIBsd4IHUNJUS5OWVNFOlNQT1QuSVFfQ09NUEFOWV9OQU1FAQAAAMVOcg0DAAAAF1Nwb3RpZnkgVGVjaG5vbG9neSBTLkEuADRlRSsBsd4IPfDPMgGx3gghQ0lRLk5BU0RBUUdTOlJPS1UuSVFfQ09NUEFOWV9OQU1FAQAAAEmahAADAAAAClJva3UsIEluYy4ANGVFKwGx3gg98M8yAbHeCB9DSVEuTkFTREFRR1M6SVEuSVFfQ09NUEFOWV9OQU1FAQAAAMIo5QUDAAAAC2lRSVlJLCBJbmMuADRlRSsBsd4IPfDPMgGx3gghQ0lRLk5BU0RBUUdTOkJJTEkuSVFfQ09NUEFOWV9OQU1FAQAAACJcZREDAAAADUJpbGliaWxpIEluYy4ANGVFKwGx3gg98M8yAbHeCBxDSVEuTllTRTpESVMuSVFfQ09NUEFOWV9OQU1FAQAAAEzsAgADAAAAF1RoZSBXYWx0IERpc25leSBDb21wYW55ADRlRSsBsd4IPfDPMgGx3gggQ0lRLk5BU0RBUUdTOldCRC5JUV9DT01QQU5ZX05BTUUBAAAAbdtZAQMAAAAcV2FybmVyIEJyb3MuIERpc2NvdmVyeSwgSW5jLgA0ZUUrAbHeCD3wzzIBsd4IIUNJUS5OQVNEQVFHUzpQU0tZLklRX0NPTVBBTllfTkFNRQEAAAAfoqcBAwAAAB5QYXJhbW91bnQgU2t5ZGFuY2UgQ29ycG9yYXRpb24ANGVFKwGx3giwh80yAbHeCCJDSVEuTkFT</t>
  </si>
  <si>
    <t>REFRR1M6Q01DU0EuSVFfQ09NUEFOWV9OQU1FAQAAAB2lAgADAAAAE0NvbWNhc3QgQ29ycG9yYXRpb24ANGVFKwGx3giwh80yAbHeCCdDSVEuLklRX1RSX1RSQU5TQUNUSU9OX1FVSUNLX0NPTVBTX01BLjEFAAAAAAAAAAgAAAAUKEludmFsaWQgSWRlbnRpZmllcik0ZUUrAbHeCNO+vzIBsd4IJkNJUS4uSVFfVFJfVFJBTlNBQ1RJT05fUVVJQ0tfQ09NUFNfTUEuBQAAAAAAAAAIAAAAFChJbnZhbGlkIElkZW50aWZpZXIpNGVFKwGx3gjTvr8yAbHeCCdDSVEuLklRX1RSX1RSQU5TQUNUSU9OX1FVSUNLX0NPTVBTX01BLjIFAAAAAAAAAAgAAAAUKEludmFsaWQgSWRlbnRpZmllcik0ZUUrAbHeCD0u1zIBsd4IJ0NJUS4uSVFfVFJfVFJBTlNBQ1RJT05fUVVJQ0tfQ09NUFNfTUEuMwUAAAAAAAAACAAAABQoSW52YWxpZCBJZGVudGlmaWVyKTRlRSsBsd4IPS7XMgGx3ggnQ0lRLi5JUV9UUl9UUkFOU0FDVElPTl9RVUlDS19DT01QU19NQS40BQAAAAAAAAAIAAAAFChJbnZhbGlkIElkZW50aWZpZXIpNGVFKwGx3gg9LtcyAbHeCCdDSVEuLklRX1RSX1RSQU5TQUNUSU9OX1FVSUNLX0NPTVBTX01BLjUFAAAAAAAAAAgAAAAUKEludmFsaWQgSWRlbnRpZmllcik0ZUUrAbHeCD0u1zIBsd4IJ0NJUS4uSVFfVFJfVFJBTlNBQ1RJT05fUVVJQ0tfQ09NUFNfTUEuNgUAAAAAAAAACAAAABQoSW52YWxpZCBJZGVudGlmaWVy</t>
  </si>
  <si>
    <t>KTRlRSsBsd4IPS7XMgGx3ggnQ0lRLi5JUV9UUl9UUkFOU0FDVElPTl9RVUlDS19DT01QU19NQS43BQAAAAAAAAAIAAAAFChJbnZhbGlkIElkZW50aWZpZXIpNGVFKwGx3giKnNkyAbHeCCdDSVEuLklRX1RSX1RSQU5TQUNUSU9OX1FVSUNLX0NPTVBTX01BLjgFAAAAAAAAAAgAAAAUKEludmFsaWQgSWRlbnRpZmllcik0ZUUrAbHeCIqc2TIBsd4IJ0NJUS4uSVFfVFJfVFJBTlNBQ1RJT05fUVVJQ0tfQ09NUFNfTUEuOQUAAAAAAAAACAAAABQoSW52YWxpZCBJZGVudGlmaWVyKTRlRSsBsd4IipzZMgGx3ggoQ0lRLi5JUV9UUl9UUkFOU0FDVElPTl9RVUlDS19DT01QU19NQS4xMAUAAAAAAAAACAAAABQoSW52YWxpZCBJZGVudGlmaWVyKTRlRSsBsd4IipzZMgGx3ggoQ0lRLi5JUV9UUl9UUkFOU0FDVElPTl9RVUlDS19DT01QU19NQS4xMQUAAAAAAAAACAAAABQoSW52YWxpZCBJZGVudGlmaWVyKTRlRSsBsd4IipzZMgGx3ggoQ0lRLi5JUV9UUl9UUkFOU0FDVElPTl9RVUlDS19DT01QU19NQS4xMgUAAAAAAAAACAAAABQoSW52YWxpZCBJZGVudGlmaWVyKTRlRSsBsd4IipzZMgGx3ggoQ0lRLi5JUV9UUl9UUkFOU0FDVElPTl9RVUlDS19DT01QU19NQS4xMwUAAAAAAAAACAAAABQoSW52YWxpZCBJZGVudGlmaWVyKTRlRSsBsd4IipzZMgGx3ggoQ0lRLi5JUV9UUl9UUkFOU0FDVElPTl9RVUlDS19DT01QU19N</t>
  </si>
  <si>
    <t>QS4xNAUAAAAAAAAACAAAABQoSW52YWxpZCBJZGVudGlmaWVyKTRlRSsBsd4IipzZMgGx3ggtQ0lRLk5BU0RBUUdTOk5GTFguSVFfTUFSS0VUQ0FQLjMxLzEyLzIwMjUuVVNEAQAAAAx9AAACAAAADTM5NzI5MS40MzYzNTgBBgAAAAUAAAABMQEAAAALLTE5MjEwMDMzODIDAAAAAzE2MAIAAAAGMTAwMDU0BAAAAAEwBwAAAAoxMi8zMS8yMDI1NGVFKwGx3ghgEcU+AbHeCClDSVEuTllTRTpTUE9ULklRX01BUktFVENBUC4zMS8xMi8yMDI1LlVTRAEAAADFTnINAgAAAA0xMTk2NzQuODcwNjUzAQYAAAAFAAAAATEBAAAACy0xOTE4NDQ1OTY4AwAAAAMxNjACAAAABjEwMDA1NAQAAAABMAcAAAAKMTIvMzEvMjAyNTRlRSsBsd4IYBHFPgGx3ggtQ0lRLk5BU0RBUUdTOlJPS1UuSVFfTUFSS0VUQ0FQLjMxLzEyLzIwMjUuVVNEAQAAAEmahAACAAAADDE2MDI5LjU4OTYzNgEGAAAABQAAAAExAQAAAAstMTkxOTExMTMwMwMAAAADMTYwAgAAAAYxMDAwNTQEAAAAATAHAAAACjEyLzMxLzIwMjU0ZUUrAbHeCGARxT4Bsd4IK0NJUS5OQVNEQVFHUzpJUS5JUV9NQVJLRVRDQVAuMzEvMTIvMjAyNS5VU0QBAAAAwijlBQIAAAALMTg0OC44ODA5ODgBBgAAAAUAAAABMQEAAAALLTE5MTU3MTIxNzIDAAAAAzE2MAIAAAAGMTAwMDU0BAAAAAEwBwAAAAoxMi8zMS8yMDI1NGVFKwGx3ghgEcU+AbHeCC1DSVEuTkFTREFRR1M6QklM</t>
  </si>
  <si>
    <t>SS5JUV9NQVJLRVRDQVAuMzEvMTIvMjAyNS5VU0QBAAAAIlxlEQIAAAAMMTAxNzQuNDY2NTcxAQYAAAAFAAAAATEBAAAACy0xOTE2Nzc3MjIwAwAAAAMxNjACAAAABjEwMDA1NAQAAAABMAcAAAAKMTIvMzEvMjAyNTRlRSsBsd4IYBHFPgGx3ggoQ0lRLk5ZU0U6RElTLklRX01BUktFVENBUC4zMS8xMi8yMDI1LlVTRAEAAABM7AIAAgAAAA0yMDMxMTIuMzEyMDA5AQYAAAAFAAAAATEBAAAACy0xOTE3MDEwMDg0AwAAAAMxNjACAAAABjEwMDA1NAQAAAABMAcAAAAKMTIvMzEvMjAyNTRlRSsBsd4IYBHFPgGx3ggsQ0lRLk5BU0RBUUdTOldCRC5JUV9NQVJLRVRDQVAuMzEvMTIvMjAyNS5VU0QBAAAAbdtZAQIAAAAMNzE0NTguODA2MzQ4AQYAAAAFAAAAATEBAAAACy0xOTE4MDg5NDMwAwAAAAMxNjACAAAABjEwMDA1NAQAAAABMAcAAAAKMTIvMzEvMjAyNTRlRSsBsd4IYBHFPgGx3ggtQ0lRLk5BU0RBUUdTOlBTS1kuSVFfTUFSS0VUQ0FQLjMxLzEyLzIwMjUuVVNEAQAAAB+ipwECAAAADDE0NzA2LjUwMTE2NgEGAAAABQAAAAExAQAAAAstMTkxNzU5OTA0NwMAAAADMTYwAgAAAAYxMDAwNTQEAAAAATAHAAAACjEyLzMxLzIwMjU0ZUUrAbHeCGARxT4Bsd4ILkNJUS5OQVNEQVFHUzpDTUNTQS5JUV9NQVJLRVRDQVAuMzEvMTIvMjAyNS5VU0QBAAAAHaUCAAIAAAANMTA4OTE2LjAwNjc1NAEGAAAABQAAAAExAQAA</t>
  </si>
  <si>
    <t>AAstMTkxODgyMjg4NAMAAAADMTYwAgAAAAYxMDAwNTQEAAAAATAHAAAACjEyLzMxLzIwMjU0ZUUrAbHeCGARxT4Bsd4IJ0NJUS5JUTUwMDI3NTI3LklRX1JBVEVfTEVWRUwuMzEvMTIvMjAyNQEAAAAHXPsCAgAAAAU0LjczOAA0ZUUrAbHeCGARxT4Bsd4IJ0NJUS5JUTUwMDI3NTM3LklRX1JBVEVfTEVWRUwuMzEvMTIvMjAyNQEAAAARXPsCAgAAAAQzLjUzADRlRSsBsd4IYBHFPgGx3ggoQ0lRLklRMTM2NTg1ODc2LklRX1JBVEVfTEVWRUwuMzEvMTIvMjAyNQEAAACUIiQIAgAAAAUyLjc1MwA0ZUUrAbHeCGARxT4Bsd4IJ0NJUS5JUTUwMDI3NTM0LklRX1JBVEVfTEVWRUwuMzEvMTIvMjAyNQEAAAAOXPsCAgAAAAUyLjk2MQA0ZUUrAbHeCGARxT4Bsd4IJ0NJUS5JUTUwMDI3NTYxLklRX1JBVEVfTEVWRUwuMzEvMTIvMjAyNQEAAAApXPsCAgAAAAUzLjA5OAA0ZUUrAbHeCGARxT4Bsd4IKENJUS5JUTEzNjU4NTgzMi5JUV9SQVRFX0xFVkVMLjMxLzEyLzIwMjUBAAAAaCIkCAIAAAAHMi4yMjQ5NgA0ZUUrAbHeCGARxT4Bsd4IJ0NJUS5JUTUwMDI3NTcyLklRX1JBVEVfTEVWRUwuMzEvMTIvMjAyNQEAAAA0XPsCAgAAAAUyLjc1MgA0ZUUrAbHeCGARxT4Bsd4IJ0NJUS5JUTUwMDI3NTc2LklRX1JBVEVfTEVWRUwuMzEvMTIvMjAyNQEAAAA4XPsCAgAAAAUwLjMxNwA0ZUUrAbHeCGARxT4Bsd4IJUNJUS4lVENN</t>
  </si>
  <si>
    <t>U1kxMC5JUV9SQVRFX0xFVkVMLjMxLzEyLzIwMjUBAAAAHR8oAgIAAAAENC4xOAA0ZUUrAbHeCGARxT4Bsd4IMUNJUS5OQVNEQVFHUzpORkxYLklRX1RFVl9FQklUREEuSVFfTFRNLjMxLzEyLzIwMjUBAAAADH0AAAIAAAAQMjkuNjYwNzkwNjUzNzg1MgEHAAAABQAAAAExAQAAAAstMTkyMTAwMzIzOQMAAAABMAIAAAAGMTAwMDYzBAAAAAEwBwAAAAoxMi8zMS8yMDI1CAAAAAoxMi8zMS8yMDI1NGVFKwGx3ghgEcU+AbHeCC1DSVEuTllTRTpTUE9ULklRX1RFVl9FQklUREEuSVFfTFRNLjMxLzEyLzIwMjUBAAAAxU5yDQIAAAAPNDYuNTIwNjIxMjcwNjY1AQcAAAAFAAAAATEBAAAACy0xOTE4NDQzNDQ4AwAAAAEwAgAAAAYxMDAwNjMEAAAAATAHAAAACjEyLzMxLzIwMjUIAAAACjEyLzMxLzIwMjU0ZUUrAbHeCGARxT4Bsd4IMUNJUS5OQVNEQVFHUzpST0tVLklRX1RFVl9FQklUREEuSVFfTFRNLjMxLzEyLzIwMjUBAAAASZqEAAIAAAAQNTcuMDEyMTQwMjAxMjc5MQEHAAAABQAAAAExAQAAAAstMTkxOTEwNTIyNAMAAAABMAIAAAAGMTAwMDYzBAAAAAEwBwAAAAoxMi8zMS8yMDI1CAAAAAoxMi8zMS8yMDI1NGVFKwGx3ghgEcU+AbHeCC9DSVEuTkFTREFRR1M6SVEuSVFfVEVWX0VCSVREQS5JUV9MVE0uMzEvMTIvMjAyNQEAAADCKOUFAgAAABAyLjczNzE4MjQ1NDMxNTkxAQcAAAAFAAAAATEBAAAACy0xOTE1</t>
  </si>
  <si>
    <t>NzExODk4AwAAAAEwAgAAAAYxMDAwNjMEAAAAATAHAAAACjEyLzMxLzIwMjUIAAAACjEyLzMxLzIwMjU0ZUUrAbHeCGARxT4Bsd4IMUNJUS5OQVNEQVFHUzpCSUxJLklRX1RFVl9FQklUREEuSVFfTFRNLjMxLzEyLzIwMjUBAAAAIlxlEQIAAAAQMTkuNzc5MTE1Njg1OTIwNAEHAAAABQAAAAExAQAAAAstMTkxNjc3MzE4OQMAAAABMAIAAAAGMTAwMDYzBAAAAAEwBwAAAAoxMi8zMS8yMDI1CAAAAAoxMi8zMS8yMDI1NGVFKwGx3ghgEcU+AbHeCCxDSVEuTllTRTpESVMuSVFfVEVWX0VCSVREQS5JUV9MVE0uMzEvMTIvMjAyNQEAAABM7AIAAgAAABAxMS43ODE4MjY5NzI5NDI4AQcAAAAFAAAAATEBAAAACy0xOTE3MDEwMDgyAwAAAAEwAgAAAAYxMDAwNjMEAAAAATAHAAAACjEyLzMxLzIwMjUIAAAACjEyLzMxLzIwMjU0ZUUrAbHeCGARxT4Bsd4IMENJUS5OQVNEQVFHUzpXQkQuSVFfVEVWX0VCSVREQS5JUV9MVE0uMzEvMTIvMjAyNQEAAABt21kBAgAAABAxMi40NTkxNTUwMTY4ODU4AQcAAAAFAAAAATEBAAAACy0xOTE4MDgwNDMxAwAAAAEwAgAAAAYxMDAwNjMEAAAAATAHAAAACjEyLzMxLzIwMjUIAAAACjEyLzMxLzIwMjU0ZUUrAbHeCGARxT4Bsd4IMUNJUS5OQVNEQVFHUzpQU0tZLklRX1RFVl9FQklUREEuSVFfTFRNLjMxLzEyLzIwMjUBAAAAH6KnAQIAAAAPMTEuNDE1MzQ5OTAyNTc5AQcAAAAFAAAA</t>
  </si>
  <si>
    <t>ATEBAAAACy0xOTE3NTkzMDU0AwAAAAEwAgAAAAYxMDAwNjMEAAAAATAHAAAACjEyLzMxLzIwMjUIAAAACjEyLzMxLzIwMjU0ZUUrAbHeCGARxT4Bsd4IMkNJUS5OQVNEQVFHUzpDTUNTQS5JUV9URVZfRUJJVERBLklRX0xUTS4zMS8xMi8yMDI1AQAAAB2lAgACAAAAEDUuMTUwMTgxMTQ2NzAyNDMBBwAAAAUAAAABMQEAAAALLTE5MTg4MDEwMTYDAAAAATACAAAABjEwMDA2MwQAAAABMAcAAAAKMTIvMzEvMjAyNQgAAAAKMTIvMzEvMjAyNTRlRSsBsd4IYBHFPgGx3ggpQ0lRLk5BU0RBUUdTOk5GTFguSVFfQlVTSU5FU1NfREVTQ1JJUFRJT04BAAAADH0AAAMAAADUA05ldGZsaXgsIEluYy4gcHJvdmlkZXMgZW50ZXJ0YWlubWVudCBzZXJ2aWNlcyB3b3JsZHdpZGUuIFRoZSBjb21wYW55IG9mZmVycyB0ZWxldmlzaW9uIChUVikgc2VyaWVzLCBkb2N1bWVudGFyaWVzLCBmZWF0dXJlIGZpbG1zLCBnYW1lcywgYW5kIGxpdmUgcHJvZ3JhbW1pbmcgYWNyb3NzIHZhcmlvdXMgZ2VucmVzIGFuZCBsYW5ndWFnZXMuIEl0IGFsc28gcHJvdmlkZXMgbWVtYmVycyB0aGUgYWJpbGl0eSB0byByZWNlaXZlIHN0cmVhbWluZyBjb250ZW50IHRocm91Z2ggYSBob3N0IG9mIGludGVybmV0LWNvbm5lY3RlZCBkZXZpY2VzLCBpbmNsdWRpbmcgVFZzLCBkaWdpdGFsIHZpZGVvIHBsYXllcnMsIFRWIHNldC10b3AgYm94ZXMs</t>
  </si>
  <si>
    <t>IGFuZCBtb2JpbGUgZGV2aWNlcy4gTmV0ZmxpeCwgSW5jLiB3YXMgaW5jb3Jwb3JhdGVkIGluIDE5OTcgYW5kIGlzIGhlYWRxdWFydGVyZWQgaW4gTG9zIEdhdG9zLCBDYWxpZm9ybmlhLgA0ZUUrAbHeCD3wzzIBsd4IHUNJUS5OQVNEQVFHUzpORkxYLklRX0VYQ0hBTkdFAQAAAAx9AAADAAAACE5hc2RhcUdTADRlRSsBsd4IPfDPMgGx3gghQ0lRLk5BU0RBUUdTOk5GTFguSVFfQ09VTlRSWV9OQU1FAQAAAAx9AAADAAAADVVuaXRlZCBTdGF0ZXMANGVFKwGx3gg98M8yAbHeCCVDSVEuTllTRTpTUE9ULklRX0JVU0lORVNTX0RFU0NSSVBUSU9OAQAAAMVOcg0DAAAA2AZTcG90aWZ5IFRlY2hub2xvZ3kgUy5BLiwgdG9nZXRoZXIgd2l0aCBpdHMgc3Vic2lkaWFyaWVzLCBwcm92aWRlcyBhdWRpbyBzdHJlYW1pbmcgc3Vic2NyaXB0aW9uIHNlcnZpY2VzIHdvcmxkd2lkZS4gSXQgb3BlcmF0ZXMgaW4gdHdvIHNlZ21lbnRzLCBQcmVtaXVtIGFuZCBBZC1TdXBwb3J0ZWQuIFRoZSBQcmVtaXVtIHNlZ21lbnQgb2ZmZXJzIG9ubGluZSBhbmQgb2ZmbGluZSBzdHJlYW1pbmcgYWNjZXNzIHRvIGl0cyBjYXRhbG9nIG9mIG11c2ljIGFuZCBwb2RjYXN0cywgaW5jbHVkaW5nIHZpZGVvLCBsb3NzbGVzcyBtdXNpYywgYW5kIGF1ZGlvYm9va3MgaW4gc2VsZWN0IG1hcmtldHMgdGhyb3VnaCBzdWJzY3JpcHRpb24gb2Zm</t>
  </si>
  <si>
    <t>ZXJpbmdzIHByaW1hcmlseSBzb2xkIGRpcmVjdGx5IHRvIGVuZCB1c2VycyBhbmQgcGFydG5lcnMuIFRoZSBBZC1TdXBwb3J0ZWQgc2VnbWVudCBwcm92aWRlcyBsaW1pdGVkIG9uLWRlbWFuZCBvbmxpbmUgYWNjZXNzIHRvIGl0cyBjYXRhbG9nIG9mIG11c2ljIGFuZCBvbmxpbmUgYW5kIG9mZmxpbmUgYWNjZXNzIHRvIGl0cyBjYXRhbG9nIG9mIHBvZGNhc3RzIG9uIGNvbXB1dGVycywgdGFibGV0cywgbW9iaWxlIGRldmljZXMsIGFuZCBvdGhlciBzbWFydCBkZXZpY2VzLiBUaGUgY29tcGFueSBhbHNvIG9mZmVycyBzYWxlcywgZGlzdHJpYnV0aW9uIGFuZCBtYXJrZXRpbmcsIGNvbnRyYWN0IHJlc2VhcmNoIGFuZCBkZXZlbG9wbWVudCwgYW5kIGN1c3RvbWVyIGFuZCBvdGhlciBzdXBwb3J0IHNlcnZpY2VzLiBTcG90aWZ5IFRlY2hub2xvZ3kgUy5BLiB3YXMgaW5jb3Jwb3JhdGVkIGluIDIwMDYgYW5kIGlzIGhlYWRxdWFydGVyZWQgaW4gU3RvY2tob2xtLCBTd2VkZW4uADRlRSsBsd4IPfDPMgGx3ggZQ0lRLk5ZU0U6U1BPVC5JUV9FWENIQU5HRQEAAADFTnINAwAAAAROWVNFADRlRSsBsd4IPfDPMgGx3ggdQ0lRLk5ZU0U6U1BPVC5JUV9DT1VOVFJZX05BTUUBAAAAxU5yDQMAAAAGU3dlZGVuADRlRSsBsd4IPfDPMgGx3ggpQ0lRLk5BU0RBUUdTOlJPS1UuSVFfQlVTSU5FU1NfREVTQ1JJUFRJT04B</t>
  </si>
  <si>
    <t>AAAASZqEAAMAAACeBFJva3UsIEluYy4sIHRvZ2V0aGVyIHdpdGggaXRzIHN1YnNpZGlhcmllcywgb3BlcmF0ZXMgYSBUViBzdHJlYW1pbmcgcGxhdGZvcm0gaW4gdGhlIFVuaXRlZCBTdGF0ZXMgYW5kIGludGVybmF0aW9uYWxseS4gVGhlIGNvbXBhbnkgb3BlcmF0ZXMgaW4gdHdvIHNlZ21lbnRzLCBQbGF0Zm9ybSBhbmQgRGV2aWNlcy4gSXRzIHN0cmVhbWluZyBwbGF0Zm9ybSBhbGxvd3MgdXNlcnMgdG8gZmluZCBhbmQgYWNjZXNzIFRWIHNob3dzLCBtb3ZpZXMsIG5ld3MsIHNwb3J0cywgYW5kIG90aGVycywgYXMgd2VsbCBhcyBvZmZlcnMgZGlnaXRhbCBhZHZlcnRpc2luZyBzZXJ2aWNlcy4gVGhlIGNvbXBhbnkgYWxzbyBzZWxscyBzdHJlYW1pbmcgcGxheWVycywgUm9rdS1icmFuZGVkIFRWcywgc21hcnQgaG9tZSBwcm9kdWN0cyBhbmQgc2VydmljZXMsIGF1ZGlvIHByb2R1Y3RzLCBhbmQgcmVsYXRlZCBhY2Nlc3Nvcmllcy4gUm9rdSwgSW5jLiB3YXMgaW5jb3Jwb3JhdGVkIGluIDIwMDIgYW5kIGlzIGhlYWRxdWFydGVyZWQgaW4gU2FuIEpvc2UsIENhbGlmb3JuaWEuADRlRSsBsd4IPfDPMgGx3ggdQ0lRLk5BU0RBUUdTOlJPS1UuSVFfRVhDSEFOR0UBAAAASZqEAAMAAAAITmFzZGFxR1MANGVFKwGx3gg98M8yAbHeCCFDSVEuTkFTREFRR1M6Uk9LVS5JUV9DT1VOVFJZX05BTUUBAAAASZqE</t>
  </si>
  <si>
    <t>AAMAAAANVW5pdGVkIFN0YXRlcwA0ZUUrAbHeCD3wzzIBsd4IJ0NJUS5OQVNEQVFHUzpJUS5JUV9CVVNJTkVTU19ERVNDUklQVElPTgEAAADCKOUFAwAAAPIHaVFJWUksIEluYy4gcHJvdmlkZXMgb25saW5lIGVudGVydGFpbm1lbnQgdmlkZW8gc2VydmljZXMgaW4gdGhlIFBlb3BsZeKAmXMgUmVwdWJsaWMgb2YgQ2hpbmEuIFRoZSBjb21wYW55IG9wZXJhdGVzIGEgcGxhdGZvcm0gdGhhdCBwcm92aWRlcyBhIGNvbGxlY3Rpb24gb2YgaW50ZXJuZXQgdmlkZW8gY29udGVudCwgc3VjaCBhcyBwcm9mZXNzaW9uYWxseSBwcm9kdWNlZCBjb250ZW50IGxpY2Vuc2VkIGZyb20gcHJvZmVzc2lvbmFsIGNvbnRlbnQgcHJvdmlkZXJzIGFuZCBzZWxmLXByb2R1Y2VkIGNvbnRlbnQuIEl0IGFsc28gZW5nYWdlcyBpbiB0aGUgcHJvZHVjdGlvbiwgYWdncmVnYXRpb24sIGFuZCBkaXN0cmlidXRpb24gb2Ygb25saW5lIGxvbmctZm9ybSB2aWRlb3MsIG1pY3JvIGRyYW1hcywgbWljcm8gYW5pbWF0aW9ucywgbWljcm8gdmFyaWV0eSBzaG93cywgZWRpdGVkIHZpZGVvIGNsaXBzLCBhbmQgdmlkZW8gYmxvZ3M7IGFuZCBwcm92aXNpb24gb2YgZXhwZXJpZW5jZSBzZXJ2aWNlcywgb25saW5lIG1vYmlsZSBnYW1lcywgY29taWNzLCBhbmQgb3RoZXJzLiBJbiBhZGRpdGlvbiwgdGhlIGNvbXBhbnkgcHJvdmlkZXMgbWVt</t>
  </si>
  <si>
    <t>YmVyc2hpcCwgb25saW5lIGJyYW5kIGFuZCBwZXJmb3JtYW5jZS1iYXNlZCBhZHZlcnRpc2luZywgYW5kIGNvbnRlbnQgZGlzdHJpYnV0aW9uIHNlcnZpY2VzLiBGdXJ0aGVyLCBpdCBpcyBpbnZvbHZlZCBpbiB0aGUgdGFsZW50IGFnZW5jeSBhbmQgSVAgbGljZW5zaW5nIGFjdGl2aXRpZXMuIFRoZSBjb21wYW55IHdhcyBmb3JtZXJseSBrbm93biBhcyBRaXlpLmNvbSwgSW5jLiBhbmQgY2hhbmdlZCBpdHMgbmFtZSB0byBpUUlZSSwgSW5jLiBpbiBOb3ZlbWJlciAyMDE3LiBUaGUgY29tcGFueSB3YXMgaW5jb3Jwb3JhdGVkIGluIDIwMDkgYW5kIGlzIGJhc2VkIGluIEJlaWppbmcsIHRoZSBQZW9wbGXigJlzIFJlcHVibGljIG9mIENoaW5hLiBpUUlZSSwgSW5jLiBpcyBhIHN1YnNpZGlhcnkgb2YgQmFpZHUgSG9sZGluZ3MgTGltaXRlZC4ANGVFKwGx3gg98M8yAbHeCBtDSVEuTkFTREFRR1M6SVEuSVFfRVhDSEFOR0UBAAAAwijlBQMAAAAITmFzZGFxR1MANGVFKwGx3gg98M8yAbHeCB9DSVEuTkFTREFRR1M6SVEuSVFfQ09VTlRSWV9OQU1FAQAAAMIo5QUDAAAABUNoaW5hADRlRSsBsd4IPfDPMgGx3ggpQ0lRLk5BU0RBUUdTOkJJTEkuSVFfQlVTSU5FU1NfREVTQ1JJUFRJT04BAAAAIlxlEQMAAAC0BkJpbGliaWxpIEluYy4gcHJvdmlkZXMgb25saW5lIGVudGVydGFpbm1lbnQgc2VydmljZXMgZm9y</t>
  </si>
  <si>
    <t>IHRoZSB5b3VuZyBnZW5lcmF0aW9ucyBpbiB0aGUgUGVvcGxl4oCZcyBSZXB1YmxpYyBvZiBDaGluYS4gSXQgb2ZmZXJzIGEgcmFuZ2Ugb2YgZGlnaXRhbCBjb250ZW50LCBpbmNsdWRpbmcgcHJvZmVzc2lvbmFsIHVzZXIgZ2VuZXJhdGVkIHZpZGVvcyAoUFVHViksIG1vYmlsZSBnYW1lcywgYW5kIHZhbHVlLWFkZGVkIHNlcnZpY2VzLCBzdWNoIGFzIGxpdmUgYnJvYWRjYXN0aW5nLCBvY2N1cGF0aW9uYWxseSBnZW5lcmF0ZWQgdmlkZW9zLCBhdWRpbyBkcmFtYSBvbiBNYW9lciwgY29taWNzIG9uIEJpbGliaWxpIENvbWljLCBQVUdWIGNvbnRlbnQgaW4gZmFuIGNoYXJnaW5nIHByb2dyYW0gYW5kIHByZW1pdW0gY291cnNlcywgYW5kIEJpbGliaWxpIHByZW1pdW0gY291cnNlcyBhbmQgY29tbXVuaXR5LWJhc2VkIGF2YXRhciBkZWNvcmF0aW9uLiBUaGUgY29tcGFueSBhbHNvIHByb3ZpZGVzIGFkdmVydGlzaW5nIHNlcnZpY2VzOyBhbmQgSVAgZGVyaXZhdGl2ZXMgYW5kIG90aGVyIHNlcnZpY2VzLiBJbiBhZGRpdGlvbiwgaXQgZW5nYWdlcyBpbiB0aGUgYnVzaW5lc3MgYW5kIHRlY2hub2xvZ3kgZGV2ZWxvcG1lbnQgYWN0aXZpdGllczsgZS1jb21tZXJjZSBidXNpbmVzczsgYW5kIHZpZGVvLCBjb21pY3MsIGFuZCBnYW1lIGRpc3RyaWJ1dGlvbiBhY3Rpdml0aWVzLiBCaWxpYmlsaSBJbmMuIHdh</t>
  </si>
  <si>
    <t>cyBmb3VuZGVkIGluIDIwMDkgYW5kIGlzIGhlYWRxdWFydGVyZWQgaW4gU2hhbmdoYWksIHRoZSBQZW9wbGUncyBSZXB1YmxpYyBvZiBDaGluYS4ANGVFKwGx3gg98M8yAbHeCB1DSVEuTkFTREFRR1M6QklMSS5JUV9FWENIQU5HRQEAAAAiXGURAwAAAAhOYXNkYXFHUwA0ZUUrAbHeCD3wzzIBsd4IIUNJUS5OQVNEQVFHUzpCSUxJLklRX0NPVU5UUllfTkFNRQEAAAAiXGURAwAAAAVDaGluYQA0ZUUrAbHeCD3wzzIBsd4IJENJUS5OWVNFOkRJUy5JUV9CVVNJTkVTU19ERVNDUklQVElPTgEAAABM7AIAAwAAAM4PVGhlIFdhbHQgRGlzbmV5IENvbXBhbnkgb3BlcmF0ZXMgYXMgYW4gZW50ZXJ0YWlubWVudCBjb21wYW55IGluIEFtZXJpY2FzLCBFdXJvcGUsIGFuZCB0aGUgQXNpYSBQYWNpZmljLiBJdCBvcGVyYXRlcyBpbiB0aHJlZSBzZWdtZW50czogRW50ZXJ0YWlubWVudCwgU3BvcnRzLCBhbmQgRXhwZXJpZW5jZXMuIFRoZSBjb21wYW55IHByb2R1Y2VzIGFuZCBkaXN0cmlidXRlcyBmaWxtIGFuZCB0ZWxldmlzaW9uIGNvbnRlbnQgdW5kZXIgdGhlIEFCQyBUZWxldmlzaW9uIE5ldHdvcmssIERpc25leSwgRnJlZWZvcm0sIEZYLCBGb3gsIE5hdGlvbmFsIEdlb2dyYXBoaWMsIGFuZCBTdGFyIGJyYW5kIHRlbGV2aXNpb24gY2hhbm5lbHMsIGFzIHdlbGwgYXMgQUJDIHRlbGV2aXNpb24gc3RhdGlvbnMg</t>
  </si>
  <si>
    <t>YW5kIEErRSB0ZWxldmlzaW9uIG5ldHdvcmtzOyBhbmQgcHJvZHVjZXMgb3JpZ2luYWwgY29udGVudCB1bmRlciB0aGUgRGlzbmV5IEJyYW5kZWQgVGVsZXZpc2lvbiwgRlggUHJvZHVjdGlvbnMsIEx1Y2FzZmlsbSwgTWFydmVsLCBOYXRpb25hbCBHZW9ncmFwaGljIFN0dWRpb3MsIFBpeGFyLCBTZWFyY2hsaWdodCBQaWN0dXJlcywgVHdlbnRpZXRoIENlbnR1cnkgU3R1ZGlvcywgMjB0aCBUZWxldmlzaW9uLCBhbmQgV2FsdCBEaXNuZXkgUGljdHVyZXMgYmFubmVycy4gSXQgYWxzbyBwcm92aWRlcyBkaXJlY3QtdG8tY29uc3VtZXIgc3RyZWFtaW5nIHNlcnZpY2VzIHRocm91Z2ggRGlzbmV5KywgRGlzbmV5KyBIb3RzdGFyLCBhbmQgSHVsdTsgc3BvcnRzLXJlbGF0ZWQgdmlkZW8gc3RyZWFtaW5nIGNvbnRlbnQgdGhyb3VnaCBFU1BOLCBFU1BOIG9uIEFCQywgRVNQTisgRFRDLCBhbmQgU3Rhcjsgc2FsZS9saWNlbnNpbmcgb2YgZmlsbSBhbmQgZXBpc29kaWMgY29udGVudCB0byB0ZWxldmlzaW9uIGFuZCB2aWRlby1vbi1kZW1hbmQgc2VydmljZXM7IHRoZWF0cmljYWwsIGhvbWUgZW50ZXJ0YWlubWVudCwgYW5kIG11c2ljIGRpc3RyaWJ1dGlvbiBzZXJ2aWNlczsgRFZEIGFuZCBCbHUtcmF5IGRpc2NzLCBlbGVjdHJvbmljIGhvbWUgdmlkZW8gbGljZW5zZXMsIGFuZCBWT0QgcmVudGFsIHNlcnZp</t>
  </si>
  <si>
    <t>Y2VzOyBzdGFnaW5nIGFuZCBsaWNlbnNpbmcgb2YgbGl2ZSBlbnRlcnRhaW5tZW50IGV2ZW50czsgYW5kIHBvc3QtcHJvZHVjdGlvbiBzZXJ2aWNlcy4gSW4gYWRkaXRpb24sIHRoZSBjb21wYW55IG9wZXJhdGVzIHRoZW1lIHBhcmtzIGFuZCByZXNvcnRzLCBzdWNoIGFzIFdhbHQgRGlzbmV5IFdvcmxkIFJlc29ydCwgRGlzbmV5bGFuZCBSZXNvcnQsIERpc25leWxhbmQgUGFyaXMsIEhvbmcgS29uZyBEaXNuZXlsYW5kIFJlc29ydCwgU2hhbmdoYWkgRGlzbmV5IFJlc29ydCwgRGlzbmV5IENydWlzZSBMaW5lLCBEaXNuZXkgVmFjYXRpb24gQ2x1YiwgTmF0aW9uYWwgR2VvZ3JhcGhpYyBFeHBlZGl0aW9ucywgYW5kIEFkdmVudHVyZXMgYnkgRGlzbmV5LCBhcyB3ZWxsIGFzIEF1bGFuaSwgYSBEaXNuZXkgcmVzb3J0IGFuZCBzcGEgaW4gSGF3YWlpLiBGdXJ0aGVyLCBpdCBsaWNlbnNlcyBpdHMgaW50ZWxsZWN0dWFsIHByb3BlcnR5IChJUCkgdG8gYSB0aGlyZCBwYXJ0eSB0aGF0IG93bnMgYW5kIG9wZXJhdGVzIFRva3lvIERpc25leSBSZXNvcnQ7IGxpY2Vuc2VzIHRyYWRlIG5hbWVzLCBjaGFyYWN0ZXJzLCB2aXN1YWwsIGxpdGVyYXJ5LCBhbmQgb3RoZXIgSVAgZm9yIHVzZSBvbiBtZXJjaGFuZGlzZSwgcHVibGlzaGVkIG1hdGVyaWFscywgYW5kIGdhbWVzOyBvcGVyYXRlcyBhIGRpcmVjdC10by1o</t>
  </si>
  <si>
    <t>b21lIHNhdGVsbGl0ZSBkaXN0cmlidXRpb24gcGxhdGZvcm07IHNlbGxzIGJyYW5kZWQgbWVyY2hhbmRpc2UgdGhyb3VnaCByZXRhaWwsIG9ubGluZSwgYW5kIHdob2xlc2FsZSBidXNpbmVzc2VzOyBhbmQgZGV2ZWxvcHMgYW5kIHB1Ymxpc2hlcyBib29rcywgY29taWMgYm9va3MsIGFuZCBtYWdhemluZXMuIFRoZSBjb21wYW55IHdhcyBmb3VuZGVkIGluIDE5MjMgYW5kIGlzIGJhc2VkIGluIEJ1cmJhbmssIENhbGlmb3JuaWEuADRlRSsBsd4IPfDPMgGx3ggYQ0lRLk5ZU0U6RElTLklRX0VYQ0hBTkdFAQAAAEzsAgADAAAABE5ZU0UANGVFKwGx3gg98M8yAbHeCBxDSVEuTllTRTpESVMuSVFfQ09VTlRSWV9OQU1FAQAAAEzsAgADAAAADVVuaXRlZCBTdGF0ZXMANGVFKwGx3gg98M8yAbHeCChDSVEuTkFTREFRR1M6V0JELklRX0JVU0lORVNTX0RFU0NSSVBUSU9OAQAAAG3bWQEDAAAAvA1XYXJuZXIgQnJvcy4gRGlzY292ZXJ5LCBJbmMuIG9wZXJhdGVzIGFzIGEgbWVkaWEgYW5kIGVudGVydGFpbm1lbnQgY29tcGFueSB3b3JsZHdpZGUuIEl0IG9wZXJhdGVzIHRocm91Z2ggdGhyZWUgc2VnbWVudHM6IFN0cmVhbWluZywgU3R1ZGlvcywgYW5kIEdsb2JhbCBMaW5lYXIgTmV0d29ya3MuIFRoZSBTdHJlYW1pbmcgc2VnbWVudCBvZmZlcnMgc3RyZWFtaW5nIHNlcnZpY2VzLCBzdWNoIGFzIEhCTyBNYXgg</t>
  </si>
  <si>
    <t>YW5kIGRpc2NvdmVyeSssIGFuZCBwcmVtaXVtIHBheS1UViBzZXJ2aWNlcywgaW5jbHVkaW5nIEhCTyBhbmQgY2VydGFpbiBwcmVtaXVtIHNwb3J0cyBzdHJlYW1pbmcgcHJvZHVjdHMgZm9yIG1vYmlsZSBhbmQgY29ubmVjdGVkIFRWIGRldmljZXMuIFRoZSBTdHVkaW9zIHNlZ21lbnQgaXMgaW52b2x2ZWQgaW4gdGhlIHByb2R1Y3Rpb24gYW5kIHJlbGVhc2Ugb2YgZmVhdHVyZSBmaWxtcyBmb3IgaW5pdGlhbCBleGhpYml0aW9uIGluIHRoZWF0ZXJzLCBwcm9kdWN0aW9uIGFuZCBpbml0aWFsIGxpY2Vuc2luZyBvZiB0ZWxldmlzaW9uIHByb2dyYW1zIHRvIHRoaXJkIHBhcnRpZXMgYW5kIGl0cyBuZXR3b3Jrcy9zdHJlYW1pbmcgc2VydmljZXMuIFRoaXMgc2VnbWVudCBhbHNvIGRpc3RyaWJ1dGVzIGZpbG1zIGFuZCB0ZWxldmlzaW9uIHByb2dyYW1zIHRvIHZhcmlvdXMgdGhpcmQtcGFydHkgYW5kIGludGVybmFsIHRlbGV2aXNpb24sIHN0cmVhbWluZyBzZXJ2aWNlcywgYW5kIHBoeXNpY2FsIGFuZCBkaWdpdGFsIGhvbWUgZW50ZXJ0YWlubWVudCBtYXJrZXRzOyByZWxhdGVkIGNvbnN1bWVyIHByb2R1Y3RzIGFuZCB0aGVtZWQgZXhwZXJpZW5jZSBsaWNlbnNpbmc7IGFuZCBwdWJsaXNoZXMsIGRldmVsb3BzLCBsaWNlbnNlcywgYW5kIGRpc3RyaWJ1dGVzIGNvbnRlbnQgZm9yIHRoZSBpbnRlcmFj</t>
  </si>
  <si>
    <t>dGl2ZSBzcGFjZSBpbiBwbGF0Zm9ybXMsIGluY2x1ZGluZyBjb25zb2xlLCBoYW5kaGVsZCwgbW9iaWxlLCBhbmQgUEMtYmFzZWQgZ2FtaW5nIGZvciBib3RoIGludGVybmFsIGFuZCB0aGlyZC1wYXJ0eSBnYW1lIHRpdGxlcy4gVGhlIEdsb2JhbCBMaW5lYXIgTmV0d29ya3Mgc2VnbWVudCBwcm92aWRlcyBnZW5lcmFsIGFuZCBsaWZlc3R5bGUgZW50ZXJ0YWlubWVudCBuZXR3b3JrcywgbmV3cyBuZXR3b3JrczsgYW5kIGhvc3RzIGludGVybmF0aW9uYWwgbWVkaWEgbmV0d29ya3MgYW5kIGdsb2JhbCBzcG9ydHMgbmV0d29ya3MuIEluIGFkZGl0aW9uLCB0aGUgY29tcGFueSBvZmZlcnMgYSBwb3J0Zm9saW8gb2YgY29udGVudCBhbmQgcHJvZHVjdHMgZm9yIHRlbGV2aXNpb24sIGZpbG0sIHN0cmVhbWluZywgaW50ZXJhY3RpdmUgZ2FtaW5nLCBwdWJsaXNoaW5nLCB0aGVtZWQgZXhwZXJpZW5jZXMsIGFuZCBjb25zdW1lciBwcm9kdWN0cyB1bmRlciB0aGUgRGlzY292ZXJ5IENoYW5uZWwsIEhCTyBNYXgsIENOTiwgREMgU3R1ZGlvcywgVE5UIFNwb3J0cywgSEJPLCBGb29kIE5ldHdvcmssIFRMQywgVEJTLCBXYXJuZXIgQnJvcy4gTW90aW9uIFBpY3R1cmUgR3JvdXAsIFdhcm5lciBCcm9zLiBUZWxldmlzaW9uIEdyb3VwLCBXYXJuZXIgQnJvcy4gR2FtZXMsIEFkdWx0IFN3aW0sIFR1cm5lciBDbGFz</t>
  </si>
  <si>
    <t>c2ljIE1vdmllcywgYW5kIG90aGVyIGJyYW5kcy4gV2FybmVyIEJyb3MuIERpc2NvdmVyeSwgSW5jLiB3YXMgaW5jb3Jwb3JhdGVkIGluIDIwMDggYW5kIGlzIGhlYWRxdWFydGVyZWQgaW4gTmV3IFlvcmssIE5ldyBZb3JrLgA0ZUUrAbHeCD3wzzIBsd4IHENJUS5OQVNEQVFHUzpXQkQuSVFfRVhDSEFOR0UBAAAAbdtZAQMAAAAITmFzZGFxR1MANGVFKwGx3giwh80yAbHeCCBDSVEuTkFTREFRR1M6V0JELklRX0NPVU5UUllfTkFNRQEAAABt21kBAwAAAA1Vbml0ZWQgU3RhdGVzADRlRSsBsd4IsIfNMgGx3ggpQ0lRLk5BU0RBUUdTOlBTS1kuSVFfQlVTSU5FU1NfREVTQ1JJUFRJT04BAAAAH6KnAQMAAACVDFBhcmFtb3VudCBTa3lkYW5jZSBDb3Jwb3JhdGlvbiBvcGVyYXRlcyBhcyBhIG1lZGlhIGFuZCBlbnRlcnRhaW5tZW50IGNvbXBhbnkgd29ybGR3aWRlLiBJdCBvcGVyYXRlcyBpbiB0aHJlZSBzZWdtZW50czogU3R1ZGlvcywgRGlyZWN0LXRvLUNvbnN1bWVyLCBhbmQgVFYgTWVkaWEuIFRoZSBjb21wYW55IG9wZXJhdGVzIENCUyBUZWxldmlzaW9uIE5ldHdvcmssIGEgZG9tZXN0aWMgYnJvYWRjYXN0IHRlbGV2aXNpb24gbmV0d29yazsgQ0JTIFN0YXRpb25zLCBhIHRlbGV2aXNpb24gc3RhdGlvbjsgaW50ZXJuYXRpb25hbCBmcmVlLXRvLWFpciBuZXR3b3JrcyBjb21wcmlzaW5nIE5ldHdvcmsg</t>
  </si>
  <si>
    <t>MTAsIENoYW5uZWwgNSwgVGVsZWZlLCBhbmQgQ2hpbGV2aXNpw7NuOyBhbmQgZG9tZXN0aWMgcHJlbWl1bSBhbmQgYmFzaWMgY2FibGUgbmV0d29ya3MsIHN1Y2ggYXMgTmlja2Vsb2Rlb24sIE1UViwgQ01ULCBDb21lZHkgQ2VudHJhbCwgQkVULCBQYXJhbW91bnQrIHdpdGggU0hPV1RJTUUsIFBhcmFtb3VudCBOZXR3b3JrLCBUaGUgU21pdGhzb25pYW4gQ2hhbm5lbCwgQkVUIE1lZGlhIEdyb3VwLCBDQlMgU3BvcnRzIE5ldHdvcmssIGFuZCBpbnRlcm5hdGlvbmFsIGV4dGVuc2lvbnMgb2YgdGhlc2UgYnJhbmRzLiBJdCBhbHNvIHByb3ZpZGVzIGRvbWVzdGljIGFuZCBpbnRlcm5hdGlvbmFsIHRlbGV2aXNpb24gc3R1ZGlvIG9wZXJhdGlvbnMsIGluY2x1ZGluZyBDQlMgU3R1ZGlvcywgUGFyYW1vdW50IFRlbGV2aXNpb24gU3R1ZGlvcywgYW5kIFNob3d0aW1lOyBDQlMgTWVkaWEgVmVudHVyZXMsIHdoaWNoIHByb2R1Y2VzIGFuZCBkaXN0cmlidXRlcyBmaXJzdC1ydW4gc3luZGljYXRlZCBwcm9ncmFtbWluZzsgYW5kIGRpZ2l0YWwgcHJvcGVydGllcyBjb25zaXN0IG9mIENCUyBOZXdzIGFuZCBDQlMgU3BvcnRzIEhRLiBJbiBhZGRpdGlvbiwgdGhlIGNvbXBhbnkgb2ZmZXJzIGEgcG9ydGZvbGlvIG9mIGRvbWVzdGljIGFuZCBpbnRlcm5hdGlvbmFsIHBheSBhbmQgZnJlZSBzdHJlYW1pbmcgc2Vy</t>
  </si>
  <si>
    <t>dmljZXMsIGluY2x1ZGluZyBQYXJhbW91bnQrLCBQbHV0byBUViwgYW5kIEJFVCsuIEZ1cnRoZXIsIGl0IHByb2R1Y2VzIGFuZCBhY3F1aXJlcyBmaWxtcywgc2VyaWVzLCBhbmQgc2hvcnQtZm9ybSBjb250ZW50IGZvciByZWxlYXNlIGFuZCBsaWNlbnNpbmcgd29ybGR3aWRlLCBpbmNsdWRpbmcgaW4gdGhlYXRlcnMsIG9uIHN0cmVhbWluZyBzZXJ2aWNlcywgb24gdGVsZXZpc2lvbiwgdGhyb3VnaCBob21lIGVudGVydGFpbm1lbnQsIGFuZCBEVkRzLCBCbHUtcmF5OyBhbmQgb3BlcmF0ZXMgYSBwb3J0Zm9saW8gY29uc2lzdGluZyBvZiBQYXJhbW91bnQgUGljdHVyZXMsIFBhcmFtb3VudCBQbGF5ZXJzLCBQYXJhbW91bnQgQW5pbWF0aW9uLCBOaWNrZWxvZGVvbiBTdHVkaW8sIGFuZCBNaXJhbWF4LiBJdCBwcm92aWRlcyBwcm9kdWN0aW9uLCBkaXN0cmlidXRpb24sIGFuZCBhZHZlcnRpc2luZyBzb2x1dGlvbnMuIFRoZSBjb21wYW55IHdhcyBmb3VuZGVkIGluIDE5MTQgYW5kIGlzIGhlYWRxdWFydGVyZWQgaW4gTmV3IFlvcmssIE5ldyBZb3JrLgA0ZUUrAbHeCLCHzTIBsd4IHUNJUS5OQVNEQVFHUzpQU0tZLklRX0VYQ0hBTkdFAQAAAB+ipwEDAAAACE5hc2RhcUdTADRlRSsBsd4IsIfNMgGx3gghQ0lRLk5BU0RBUUdTOlBTS1kuSVFfQ09VTlRSWV9OQU1FAQAAAB+ipwEDAAAADVVuaXRlZCBTdGF0</t>
  </si>
  <si>
    <t>ZXMANGVFKwGx3giwh80yAbHeCCpDSVEuTkFTREFRR1M6Q01DU0EuSVFfQlVTSU5FU1NfREVTQ1JJUFRJT04BAAAAHaUCAAMAAAD7C0NvbWNhc3QgQ29ycG9yYXRpb24gb3BlcmF0ZXMgYXMgYSBtZWRpYSBhbmQgdGVjaG5vbG9neSBjb21wYW55IHdvcmxkd2lkZS4gVGhlIGNvbXBhbnkgb3BlcmF0ZXMgdGhyb3VnaCBSZXNpZGVudGlhbCBDb25uZWN0aXZpdHkgJiBQbGF0Zm9ybXMsIEJ1c2luZXNzIFNlcnZpY2VzIENvbm5lY3Rpdml0eSwgTWVkaWEsIFN0dWRpb3MsIGFuZCBUaGVtZSBQYXJrcyBzZWdtZW50cy4gSXRzIFJlc2lkZW50aWFsIENvbm5lY3Rpdml0eSAmIFBsYXRmb3JtcyBzZWdtZW50IHByb3ZpZGVzIHJlc2lkZW50aWFsIGJyb2FkYmFuZCBhbmQgd2lyZWxlc3MgY29ubmVjdGl2aXR5IHNlcnZpY2VzLCByZXNpZGVudGlhbCBhbmQgYnVzaW5lc3MgdmlkZW8gc2VydmljZXMsIHNreS1icmFuZGVkIGVudGVydGFpbm1lbnQgdGVsZXZpc2lvbiBuZXR3b3JrcywgYW5kIGFkdmVydGlzaW5nLiBUaGUgQnVzaW5lc3MgU2VydmljZXMgQ29ubmVjdGl2aXR5IHNlZ21lbnQgb2ZmZXJzIGNvbm5lY3Rpdml0eSBzZXJ2aWNlcyBmb3Igc21hbGwgYnVzaW5lc3MgbG9jYXRpb25zLCB3aGljaCBpbmNsdWRlIGJyb2FkYmFuZCwgd2lyZWxpbmUgdm9pY2UsIGFuZCB3aXJlbGVzcyBzZXJ2aWNlczsgYW5k</t>
  </si>
  <si>
    <t>IGV0aGVybmV0IG5ldHdvcmsgc2VydmljZXMgZm9yIG1lZGl1bS1zaXplZCBjdXN0b21lcnMgYW5kIGxhcmdlciBlbnRlcnByaXNlcy4gSXRzIE1lZGlhIHNlZ21lbnQgb3BlcmF0ZXMgTkJDVW5pdmVyc2Fs4oCZcyBuYXRpb25hbCBhbmQgcmVnaW9uYWwgY2FibGUgbmV0d29ya3M7IHRoZSBOQkMgYW5kIFRlbGVtdW5kbyBicm9hZGNhc3QgbmV0d29ya3MgYW5kIG93bmVkIGxvY2FsIGJyb2FkY2FzdCB0ZWxldmlzaW9uIHN0YXRpb25zOyBhbmQgUGVhY29jaywgYSBkaXJlY3QtdG8tY29uc3VtZXIgc3RyZWFtaW5nIHNlcnZpY2VzLiBUaGUgY29tcGFueSBhbHNvIG9wZXJhdGVzIGludGVybmF0aW9uYWwgdGVsZXZpc2lvbiBuZXR3b3JrcyBjb21wcmlzaW5nIHRoZSBTa3kgU3BvcnRzIG5ldHdvcmtzLCBhcyB3ZWxsIGFzIG90aGVyIGRpZ2l0YWwgcHJvcGVydGllcy4gSXRzIFN0dWRpb3Mgc2VnbWVudCBvcGVyYXRlcyBOQkNVbml2ZXJzYWwgYW5kIFNreSBmaWxtIGFuZCB0ZWxldmlzaW9uIHN0dWRpbyBwcm9kdWN0aW9uIGFuZCBkaXN0cmlidXRpb24gb3BlcmF0aW9ucy4gVGhlIFRoZW1lIFBhcmtzIHNlZ21lbnQgb3BlcmF0ZXMgVW5pdmVyc2FsIHRoZW1lIHBhcmtzIGluIE9ybGFuZG8sIEZsb3JpZGE7IEhvbGx5d29vZCwgQ2FsaWZvcm5pYTsgT3Nha2EsIEphcGFuOyBhbmQgQmVpamluZywgQ2hp</t>
  </si>
  <si>
    <t>bmEuIEl0IGFsc28gb2ZmZXJzIGEgY29uc29saWRhdGVkIHN0cmVhbWluZyBwbGF0Zm9ybXMgdW5kZXIgdGhlIFBoaWxhZGVscGhpYSBGbHllcnMgYW5kIHRoZSBYZmluaXR5IE1vYmlsZSBBcmVuYSBpbiBQaGlsYWRlbHBoaWEsIFBlbm5zeWx2YW5pYTsgYW5kIFh1bW8uIENvbWNhc3QgQ29ycG9yYXRpb24gd2FzIGZvdW5kZWQgaW4gMTk2MyBhbmQgaXMgaGVhZHF1YXJ0ZXJlZCBpbiBQaGlsYWRlbHBoaWEsIFBlbm5zeWx2YW5pYS4ANGVFKwGx3giwh80yAbHeCB5DSVEuTkFTREFRR1M6Q01DU0EuSVFfRVhDSEFOR0UBAAAAHaUCAAMAAAAITmFzZGFxR1MANGVFKwGx3giwh80yAbHeCCJDSVEuTkFTREFRR1M6Q01DU0EuSVFfQ09VTlRSWV9OQU1FAQAAAB2lAgADAAAADVVuaXRlZCBTdGF0ZXMANGVFKwGx3giwh80yAbHeCDFDSVEuTkFTREFRR1M6TkZMWC5JUV9DVVNUT01fQkVUQS4tNVkuMzEvMTIvMjAyNS5XAQAAAAx9AAACAAAAEDEuNDI2MzA3MTg3MTI1OTkANGVFKwGx3ghgEcU+AbHeCC1DSVEuTllTRTpTUE9ULklRX0NVU1RPTV9CRVRBLi01WS4zMS8xMi8yMDI1LlcBAAAAxU5yDQIAAAAQMS40MjA3MjA0MzM5OTMzNwA0ZUUrAbHeCGARxT4Bsd4IMUNJUS5OQVNEQVFHUzpST0tVLklRX0NVU1RPTV9CRVRBLi01WS4zMS8xMi8yMDI1LlcBAAAASZqEAAIAAAAQMi4zNjUxNTYyNjk1OTI0NgA0ZUUr</t>
  </si>
  <si>
    <t>AbHeCGARxT4Bsd4IL0NJUS5OQVNEQVFHUzpJUS5JUV9DVVNUT01fQkVUQS4tNVkuMzEvMTIvMjAyNS5XAQAAAMIo5QUCAAAAETAuOTMwMDAxNjUyNTcyODA2ADRlRSsBsd4IYBHFPgGx3ggxQ0lRLk5BU0RBUUdTOkJJTEkuSVFfQ1VTVE9NX0JFVEEuLTVZLjMxLzEyLzIwMjUuVwEAAAAiXGURAgAAABAxLjIwNDYyNjY1MzU1ODc1ADRlRSsBsd4IYBHFPgGx3ggsQ0lRLk5ZU0U6RElTLklRX0NVU1RPTV9CRVRBLi01WS4zMS8xMi8yMDI1LlcBAAAATOwCAAIAAAAQMS4wMjc5NDY5MTUwMjcxMgA0ZUUrAbHeCGARxT4Bsd4IMENJUS5OQVNEQVFHUzpXQkQuSVFfQ1VTVE9NX0JFVEEuLTVZLjMxLzEyLzIwMjUuVwEAAABt21kBAgAAABAxLjIxNDA3NTYwMTYyNjU2ADRlRSsBsd4IYBHFPgGx3ggxQ0lRLk5BU0RBUUdTOlBTS1kuSVFfQ1VTVE9NX0JFVEEuLTVZLjMxLzEyLzIwMjUuVwEAAAAfoqcBAgAAABAxLjA0ODk5NzUyMDMwMjI2ADRlRSsBsd4IYBHFPgGx3ggyQ0lRLk5BU0RBUUdTOkNNQ1NBLklRX0NVU1RPTV9CRVRBLi01WS4zMS8xMi8yMDI1LlcBAAAAHaUCAAIAAAARMC42MTc0NjM5NjgwMDI4MDQANGVFKwGx3ghgEcU+AbHeCDBDSVEuTkFTREFRR1M6TkZMWC5JUV9FQklUX01BUkdJTi4xMDAwLjMxLzEyLzIwMjUBAAAADH0AAAIAAAAHMjkuNDk0NwEIAAAABQAAAAExAQAAAAstMTkwOTIyMDIxNwMA</t>
  </si>
  <si>
    <t>AAADMTYwAgAAAAQ0MDUzBAAAAAEwBwAAAAoxMi8zMS8yMDI1CAAAAAoxMi8zMS8yMDI1CQAAAAEwNGVFKwGx3ghgEcU+AbHeCDdDSVEuTkFTREFRR1M6TkZMWC5JUV9UT1RBTF9ERUJULjUwMC4zMS8xMi8yMDI1LkxGUi4uVVNEAQAAAAx9AAACAAAACTE2OTc1LjgzNwEIAAAABQAAAAExAQAAAAstMTkwOTIxOTg4NQMAAAADMTYwAgAAAAQ0MTczBAAAAAEwBwAAAAoxMi8zMS8yMDI1CAAAAAoxMi8zMS8yMDI1CQAAAAEwNGVFKwGx3ghgEcU+AbHeCDRDSVEuTkFTREFRR1M6TkZMWC5JUV9FRkZFQ1RfVEFYX1JBVEUuMTAwMC4zMS8xMi8yMDI1AQAAAAx9AAACAAAABzEzLjY4NzEBCAAAAAUAAAABMQEAAAALLTE5MDkyMjAyMTcDAAAAAzE2MAIAAAAENDM3NgQAAAABMAcAAAAKMTIvMzEvMjAyNQgAAAAKMTIvMzEvMjAyNQkAAAABMDRlRSsBsd4IYBHFPgGx3ggvQ0lRLk5BU0RBUUdTOk5GTFguSVFfUEVSSU9EREFURS4xMDAwLjMxLzEyLzIwMjUBAAAADH0AAAUAAAAKMzEvMTIvMjAyNQA0ZUUrAbHeCGARxT4Bsd4ILENJUS5OWVNFOlNQT1QuSVFfRUJJVF9NQVJHSU4uMTAwMC4zMS8xMi8yMDI1AQAAAMVOcg0CAAAABzEyLjc4OTQBCAAAAAUAAAABMQEAAAALLTE5MDczMTIzOTgDAAAAAjUwAgAAAAQ0MDUzBAAAAAEwBwAAAAoxMi8zMS8yMDI1CAAAAAoxMi8zMS8yMDI1CQAAAAEwNGVFKwGx3ghgEcU+AbHe</t>
  </si>
  <si>
    <t>CDNDSVEuTllTRTpTUE9ULklRX1RPVEFMX0RFQlQuNTAwLjMxLzEyLzIwMjUuTEZSLi5VU0QBAAAAxU5yDQIAAAALMjI5Ni41ODMzMDUBCAAAAAUAAAABMQEAAAALLTE5MDczMDk1MTIDAAAAAzE2MAIAAAAENDE3MwQAAAABMAcAAAAKMTIvMzEvMjAyNQgAAAAKMTIvMzEvMjAyNQkAAAABMDRlRSsBsd4IYBHFPgGx3ggwQ0lRLk5ZU0U6U1BPVC5JUV9FRkZFQ1RfVEFYX1JBVEUuMTAwMC4zMS8xMi8yMDI1AQAAAMVOcg0CAAAABjAuNTM5NQEIAAAABQAAAAExAQAAAAstMTkwNzMxMjM5OAMAAAACNTACAAAABDQzNzYEAAAAATAHAAAACjEyLzMxLzIwMjUIAAAACjEyLzMxLzIwMjUJAAAAATA0ZUUrAbHeCGARxT4Bsd4IMENJUS5OQVNEQVFHUzpST0tVLklRX0VCSVRfTUFSR0lOLjEwMDAuMzEvMTIvMjAyNQEAAABJmoQAAgAAAActMC4wMDU0AQgAAAAFAAAAATEBAAAACy0xOTA2NzAzMzE2AwAAAAMxNjACAAAABDQwNTMEAAAAATAHAAAACjEyLzMxLzIwMjUIAAAACjEyLzMxLzIwMjUJAAAAATA0ZUUrAbHeCGARxT4Bsd4IN0NJUS5OQVNEQVFHUzpST0tVLklRX1RPVEFMX0RFQlQuNTAwLjMxLzEyLzIwMjUuTEZSLi5VU0QBAAAASZqEAAIAAAAHNTIzLjMyNAEIAAAABQAAAAExAQAAAAstMTkwNjcwMzExNwMAAAADMTYwAgAAAAQ0MTczBAAAAAEwBwAAAAoxMi8zMS8yMDI1CAAAAAoxMi8zMS8yMDI1CQAAAAEw</t>
  </si>
  <si>
    <t>NGVFKwGx3ghgEcU+AbHeCDRDSVEuTkFTREFRR1M6Uk9LVS5JUV9FRkZFQ1RfVEFYX1JBVEUuMTAwMC4zMS8xMi8yMDI1AQAAAEmahAACAAAABjUuODk2OAEIAAAABQAAAAExAQAAAAstMTkwNjcwMzMxNgMAAAADMTYwAgAAAAQ0Mzc2BAAAAAEwBwAAAAoxMi8zMS8yMDI1CAAAAAoxMi8zMS8yMDI1CQAAAAEwNGVFKwGx3ghgEcU+AbHeCC9DSVEuTkFTREFRR1M6Uk9LVS5JUV9QRVJJT0REQVRFLjEwMDAuMzEvMTIvMjAyNQEAAABJmoQABQAAAAozMS8xMi8yMDI1ADRlRSsBsd4IYBHFPgGx3gguQ0lRLk5BU0RBUUdTOklRLklRX0VCSVRfTUFSR0lOLjEwMDAuMzEvMTIvMjAyNQEAAADCKOUFAgAAAAYwLjg0MDIBCAAAAAUAAAABMQEAAAALLTE5MDEwODU5NTADAAAAAjMyAgAAAAQ0MDUzBAAAAAEwBwAAAAoxMi8zMS8yMDI1CAAAAAoxMi8zMS8yMDI1CQAAAAEwNGVFKwGx3ghgEcU+AbHeCDVDSVEuTkFTREFRR1M6SVEuSVFfVE9UQUxfREVCVC41MDAuMzEvMTIvMjAyNS5MRlIuLlVTRAEAAADCKOUFAgAAAAsyMTc5LjcyODkyNQEIAAAABQAAAAExAQAAAAstMTkwMTA4NDc5NAMAAAADMTYwAgAAAAQ0MTczBAAAAAEwBwAAAAoxMi8zMS8yMDI1CAAAAAoxMi8zMS8yMDI1CQAAAAEwNGVFKwGx3ghgEcU+AbHeCDJDSVEuTkFTREFRR1M6SVEuSVFfRUZGRUNUX1RBWF9SQVRFLjEwMDAuMzEvMTIvMjAyNQEAAADC</t>
  </si>
  <si>
    <t>KOUFAwAAAAJOTQEIAAAABQAAAAExAQAAAAstMTkwMTA4NTk1MAMAAAACMzICAAAABDQzNzYEAAAAATAHAAAACjEyLzMxLzIwMjUIAAAACjEyLzMxLzIwMjUJAAAAATA0ZUUrAbHeCGARxT4Bsd4ILUNJUS5OQVNEQVFHUzpJUS5JUV9QRVJJT0REQVRFLjEwMDAuMzEvMTIvMjAyNQEAAADCKOUFBQAAAAozMS8xMi8yMDI1ADRlRSsBsd4IYBHFPgGx3ggwQ0lRLk5BU0RBUUdTOkJJTEkuSVFfRUJJVF9NQVJHSU4uMTAwMC4zMS8xMi8yMDI1AQAAACJcZRECAAAABjMuNzA1MgEIAAAABQAAAAExAQAAAAstMTg5NjUyNjI0NgMAAAACMzICAAAABDQwNTMEAAAAATAHAAAACjEyLzMxLzIwMjUIAAAACjEyLzMxLzIwMjUJAAAAATA0ZUUrAbHeCGARxT4Bsd4IN0NJUS5OQVNEQVFHUzpCSUxJLklRX1RPVEFMX0RFQlQuNTAwLjMxLzEyLzIwMjUuTEZSLi5VU0QBAAAAIlxlEQIAAAAKMTQwMy45NjE3NAEIAAAABQAAAAExAQAAAAstMTg5NjUxODk0MAMAAAADMTYwAgAAAAQ0MTczBAAAAAEwBwAAAAoxMi8zMS8yMDI1CAAAAAoxMi8zMS8yMDI1CQAAAAEwNGVFKwGx3ghgEcU+AbHeCDRDSVEuTkFTREFRR1M6QklMSS5JUV9FRkZFQ1RfVEFYX1JBVEUuMTAwMC4zMS8xMi8yMDI1AQAAACJcZRECAAAABjEuNDE5MQEIAAAABQAAAAExAQAAAAstMTg5NjUyNjI0NgMAAAACMzICAAAABDQzNzYEAAAAATAHAAAACjEyLzMxLzIw</t>
  </si>
  <si>
    <t>MjUIAAAACjEyLzMxLzIwMjUJAAAAATA0ZUUrAbHeCGARxT4Bsd4IL0NJUS5OQVNEQVFHUzpCSUxJLklRX1BFUklPRERBVEUuMTAwMC4zMS8xMi8yMDI1AQAAACJcZREFAAAACjMxLzEyLzIwMjUANGVFKwGx3ghgEcU+AbHeCCtDSVEuTllTRTpESVMuSVFfRUJJVF9NQVJHSU4uMTAwMC4zMS8xMi8yMDI1AQAAAEzsAgACAAAABjE0LjkyNQEIAAAABQAAAAExAQAAAAstMTkxNzAxNjE1MQMAAAADMTYwAgAAAAQ0MDUzBAAAAAEwBwAAAAoxMi8zMS8yMDI1CAAAAAk5LzI3LzIwMjUJAAAAATA0ZUUrAbHeCGARxT4Bsd4IMkNJUS5OWVNFOkRJUy5JUV9UT1RBTF9ERUJULjUwMC4zMS8xMi8yMDI1LkxGUi4uVVNEAQAAAEzsAgACAAAABTQ2NjQwAQgAAAAFAAAAATEBAAAACy0xOTA4MjI2NDA1AwAAAAMxNjACAAAABDQxNzMEAAAAATAHAAAACjEyLzMxLzIwMjUIAAAACjEyLzI3LzIwMjUJAAAAATA0ZUUrAbHeCGARxT4Bsd4IL0NJUS5OWVNFOkRJUy5JUV9FRkZFQ1RfVEFYX1JBVEUuMTAwMC4zMS8xMi8yMDI1AQAAAEzsAgADAAAAAk5NAQgAAAAFAAAAATEBAAAACy0xOTE3MDE2MTUxAwAAAAMxNjACAAAABDQzNzYEAAAAATAHAAAACjEyLzMxLzIwMjUIAAAACTkvMjcvMjAyNQkAAAABMDRlRSsBsd4IYBHFPgGx3ggqQ0lRLk5ZU0U6RElTLklRX1BFUklPRERBVEUuMTAwMC4zMS8xMi8yMDI1AQAAAEzsAgAFAAAA</t>
  </si>
  <si>
    <t>CjI3LzA5LzIwMjUANGVFKwGx3ghgEcU+AbHeCC9DSVEuTkFTREFRR1M6V0JELklRX0VCSVRfTUFSR0lOLjEwMDAuMzEvMTIvMjAyNQEAAABt21kBAgAAAAY0LjQ5OTEBCAAAAAUAAAABMQEAAAALLTE5MDQyNjQxMzkDAAAAAzE2MAIAAAAENDA1MwQAAAABMAcAAAAKMTIvMzEvMjAyNQgAAAAKMTIvMzEvMjAyNQkAAAABMDRlRSsBsd4IYBHFPgGx3gg2Q0lRLk5BU0RBUUdTOldCRC5JUV9UT1RBTF9ERUJULjUwMC4zMS8xMi8yMDI1LkxGUi4uVVNEAQAAAG3bWQECAAAABTM2NzYxAQgAAAAFAAAAATEBAAAACy0xOTA0MjYxNzkzAwAAAAMxNjACAAAABDQxNzMEAAAAATAHAAAACjEyLzMxLzIwMjUIAAAACjEyLzMxLzIwMjUJAAAAATA0ZUUrAbHeCGARxT4Bsd4IM0NJUS5OQVNEQVFHUzpXQkQuSVFfRUZGRUNUX1RBWF9SQVRFLjEwMDAuMzEvMTIvMjAyNQEAAABt21kBAgAAAAc1NC4zMDE0AQgAAAAFAAAAATEBAAAACy0xOTA0MjY0MTM5AwAAAAMxNjACAAAABDQzNzYEAAAAATAHAAAACjEyLzMxLzIwMjUIAAAACjEyLzMxLzIwMjUJAAAAATA0ZUUrAbHeCGARxT4Bsd4ILkNJUS5OQVNEQVFHUzpXQkQuSVFfUEVSSU9EREFURS4xMDAwLjMxLzEyLzIwMjUBAAAAbdtZAQUAAAAKMzEvMTIvMjAyNQA0ZUUrAbHeCGARxT4Bsd4IMENJUS5OQVNEQVFHUzpQU0tZLklRX0VCSVRfTUFSR0lOLjEwMDAuMzEvMTIvMjAy</t>
  </si>
  <si>
    <t>NQEAAAAfoqcBAgAAAAY2LjUzMTQBCAAAAAUAAAABMQEAAAALLTE5MDUwNDc1NTQDAAAAAzE2MAIAAAAENDA1MwQAAAABMAcAAAAKMTIvMzEvMjAyNQgAAAAKMTIvMzEvMjAyNQkAAAABMDRlRSsBsd4IYBHFPgGx3gg3Q0lRLk5BU0RBUUdTOlBTS1kuSVFfVE9UQUxfREVCVC41MDAuMzEvMTIvMjAyNS5MRlIuLlVTRAEAAAAfoqcBAgAAAAUxNTA5MgEIAAAABQAAAAExAQAAAAstMTkwNTA0NTk0NgMAAAADMTYwAgAAAAQ0MTczBAAAAAEwBwAAAAoxMi8zMS8yMDI1CAAAAAoxMi8zMS8yMDI1CQAAAAEwNGVFKwGx3ghgEcU+AbHeCDRDSVEuTkFTREFRR1M6UFNLWS5JUV9FRkZFQ1RfVEFYX1JBVEUuMTAwMC4zMS8xMi8yMDI1AQAAAB+ipwEDAAAAAk5NAQgAAAAFAAAAATEBAAAACy0xOTA1MDQ3NTU0AwAAAAMxNjACAAAABDQzNzYEAAAAATAHAAAACjEyLzMxLzIwMjUIAAAACjEyLzMxLzIwMjUJAAAAATA0ZUUrAbHeCGARxT4Bsd4IL0NJUS5OQVNEQVFHUzpQU0tZLklRX1BFUklPRERBVEUuMTAwMC4zMS8xMi8yMDI1AQAAAB+ipwEFAAAACjMxLzEyLzIwMjUANGVFKwGx3ghgEcU+AbHeCDFDSVEuTkFTREFRR1M6Q01DU0EuSVFfRUJJVF9NQVJHSU4uMTAwMC4zMS8xMi8yMDI1AQAAAB2lAgACAAAABzE2LjcwODgBCAAAAAUAAAABMQEAAAALLTE5MDgwMzc3MzYDAAAAAzE2MAIAAAAENDA1MwQAAAABMAcAAAAK</t>
  </si>
  <si>
    <t>MTIvMzEvMjAyNQgAAAAKMTIvMzEvMjAyNQkAAAABMDRlRSsBsd4IYBHFPgGx3gg4Q0lRLk5BU0RBUUdTOkNNQ1NBLklRX1RPVEFMX0RFQlQuNTAwLjMxLzEyLzIwMjUuTEZSLi5VU0QBAAAAHaUCAAIAAAAGMTA1MDMzAQgAAAAFAAAAATEBAAAACy0xOTA4MDM1NDcxAwAAAAMxNjACAAAABDQxNzMEAAAAATAHAAAACjEyLzMxLzIwMjUIAAAACjEyLzMxLzIwMjUJAAAAATA0ZUUrAbHeCGARxT4Bsd4INUNJUS5OQVNEQVFHUzpDTUNTQS5JUV9FRkZFQ1RfVEFYX1JBVEUuMTAwMC4zMS8xMi8yMDI1AQAAAB2lAgACAAAABzIzLjY5NzgBCAAAAAUAAAABMQEAAAALLTE5MDgwMzc3MzYDAAAAAzE2MAIAAAAENDM3NgQAAAABMAcAAAAKMTIvMzEvMjAyNQgAAAAKMTIvMzEvMjAyNQkAAAABMDRlRSsBsd4IYBHFPgGx3ggwQ0lRLk5BU0RBUUdTOkNNQ1NBLklRX1BFUklPRERBVEUuMTAwMC4zMS8xMi8yMDI1AQAAAB2lAgAFAAAACjMxLzEyLzIwMjUANGVFKwGx3ghgEcU+AbHeCDZDSVEuTkFTREFRR1M6TkZMWC5JUV9UT1RBTF9SRVYuRlkyMDE1LjMxLzEyLzIwMjUuLi5VU0QBAAAADH0AAAIAAAAINjc3OS41MTEBCAAAAAUAAAABMQEAAAAKMTg3MzA4NTg4NQMAAAADMTYwAgAAAAIyOAQAAAABMAcAAAAKMTIvMzEvMjAyNQgAAAAKMTIvMzEvMjAxNQkAAAABMDRlRSsBsd4IYBHFPgGx3gg2Q0lRLk5BU0RBUUdTOk5G</t>
  </si>
  <si>
    <t>TFguSVFfVE9UQUxfUkVWLkZZMjAxNi4zMS8xMi8yMDI1Li4uVVNEAQAAAAx9AAACAAAACDg4MzAuNjY5AQsAAAAFAAAAAjE2BwAAAAUzMjAxMgEAAAAJNzE3MDMyNTU5AgAAAAIyOAkAAAABMAoAAAABNAYAAAABMQQAAAABMAMAAAADMTYwCwAAAAoxMi8zMS8yMDI1CAAAAAEwNGVFKwGx3ghgEcU+AbHeCDZDSVEuTkFTREFRR1M6TkZMWC5JUV9UT1RBTF9SRVYuRlkyMDE3LjMxLzEyLzIwMjUuLi5VU0QBAAAADH0AAAIAAAAJMTE2OTIuNzEzAQgAAAAFAAAAATEBAAAACjIwMDMxNTAwMDYDAAAAAzE2MAIAAAACMjgEAAAAATAHAAAACjEyLzMxLzIwMjUIAAAACjEyLzMxLzIwMTcJAAAAATA0ZUUrAbHeCGARxT4Bsd4INkNJUS5OQVNEQVFHUzpORkxYLklRX1RPVEFMX1JFVi5GWTIwMTguMzEvMTIvMjAyNS4uLlVTRAEAAAAMfQAAAgAAAAkxNTc5NC4zNDEBCAAAAAUAAAABMQEAAAAKMjA3NzY5MDE2MAMAAAADMTYwAgAAAAIyOAQAAAABMAcAAAAKMTIvMzEvMjAyNQgAAAAKMTIvMzEvMjAxOAkAAAABMDRlRSsBsd4IYBHFPgGx3gg2Q0lRLk5BU0RBUUdTOk5GTFguSVFfVE9UQUxfUkVWLkZZMjAxOS4zMS8xMi8yMDI1Li4uVVNEAQAAAAx9AAACAAAACTIwMTU2LjQ0NwEIAAAABQAAAAExAQAAAAstMjExNDUyNTA5OQMAAAADMTYwAgAAAAIyOAQAAAABMAcAAAAKMTIvMzEvMjAyNQgAAAAKMTIvMzEvMjAxOQkA</t>
  </si>
  <si>
    <t>AAABMDRlRSsBsd4IYBHFPgGx3gg2Q0lRLk5BU0RBUUdTOk5GTFguSVFfVE9UQUxfUkVWLkZZMjAyMC4zMS8xMi8yMDI1Li4uVVNEAQAAAAx9AAACAAAACTI0OTk2LjA1NgEIAAAABQAAAAExAQAAAAstMjExNDUyNTA4NwMAAAADMTYwAgAAAAIyOAQAAAABMAcAAAAKMTIvMzEvMjAyNQgAAAAKMTIvMzEvMjAyMAkAAAABMDRlRSsBsd4IYBHFPgGx3gg2Q0lRLk5BU0RBUUdTOk5GTFguSVFfVE9UQUxfUkVWLkZZMjAyMS4zMS8xMi8yMDI1Li4uVVNEAQAAAAx9AAACAAAACTI5Njk3Ljg0NAEIAAAABQAAAAExAQAAAAstMjAxMjQxNTc3NgMAAAADMTYwAgAAAAIyOAQAAAABMAcAAAAKMTIvMzEvMjAyNQgAAAAKMTIvMzEvMjAyMQkAAAABMDRlRSsBsd4IYBHFPgGx3gg2Q0lRLk5BU0RBUUdTOk5GTFguSVFfVE9UQUxfUkVWLkZZMjAyMi4zMS8xMi8yMDI1Li4uVVNEAQAAAAx9AAACAAAACDMxNjE1LjU1AQgAAAAFAAAAATEBAAAACy0xOTYxODI0OTcwAwAAAAMxNjACAAAAAjI4BAAAAAEwBwAAAAoxMi8zMS8yMDI1CAAAAAoxMi8zMS8yMDIyCQAAAAEwNGVFKwGx3ghgEcU+AbHeCDZDSVEuTkFTREFRR1M6TkZMWC5JUV9UT1RBTF9SRVYuRlkyMDIzLjMxLzEyLzIwMjUuLi5VU0QBAAAADH0AAAIAAAAJMzM3MjMuMjk3AQgAAAAFAAAAATEBAAAACy0xOTYxODI0OTY5AwAAAAMxNjACAAAAAjI4BAAAAAEwBwAAAAox</t>
  </si>
  <si>
    <t>Mi8zMS8yMDI1CAAAAAoxMi8zMS8yMDIzCQAAAAEwNGVFKwGx3ghgEcU+AbHeCDZDSVEuTkFTREFRR1M6TkZMWC5JUV9UT1RBTF9SRVYuRlkyMDI0LjMxLzEyLzIwMjUuLi5VU0QBAAAADH0AAAIAAAAJMzkwMDAuOTY2AQgAAAAFAAAAATEBAAAACy0xOTYxODI0OTY3AwAAAAMxNjACAAAAAjI4BAAAAAEwBwAAAAoxMi8zMS8yMDI1CAAAAAoxMi8zMS8yMDI0CQAAAAEwNGVFKwGx3ghgEcU+AbHeCDZDSVEuTkFTREFRR1M6TkZMWC5JUV9UT1RBTF9SRVYuRlkyMDI1LjMxLzEyLzIwMjUuLi5VU0QBAAAADH0AAAMAAAAAADRlRSsBsd4IYBHFPgGx3ggyQ0lRLk5ZU0U6U1BPVC5JUV9UT1RBTF9SRVYuRlkyMDE1LjMxLzEyLzIwMjUuLi5VU0QBAAAAxU5yDQIAAAALMjEwNy40MzU3NzIBCAAAAAUAAAABMQEAAAAKMTg4MTM5MjM1MAMAAAADMTYwAgAAAAIyOAQAAAABMAcAAAAKMTIvMzEvMjAyNQgAAAAIMS8xLzIwMTYJAAAAATA0ZUUrAbHeCGARxT4Bsd4IMkNJUS5OWVNFOlNQT1QuSVFfVE9UQUxfUkVWLkZZMjAxNi4zMS8xMi8yMDI1Li4uVVNEAQAAAMVOcg0CAAAACzMxMTYuMjI1MDYyAQgAAAAFAAAAATEBAAAACjE5NDQ1Mzk3MzADAAAAAzE2MAIAAAACMjgEAAAAATAHAAAACjEyLzMxLzIwMjUIAAAACjEyLzMxLzIwMTYJAAAAATA0ZUUrAbHeCGARxT4Bsd4IMkNJUS5OWVNFOlNQT1QuSVFfVE9UQUxfUkVW</t>
  </si>
  <si>
    <t>LkZZMjAxNy4zMS8xMi8yMDI1Li4uVVNEAQAAAMVOcg0CAAAACzQ5MTEuMTQzMTMyAQgAAAAFAAAAATEBAAAACjIwMTMxODU5MDYDAAAAAzE2MAIAAAACMjgEAAAAATAHAAAACjEyLzMxLzIwMjUIAAAACjEyLzMxLzIwMTcJAAAAATA0ZUUrAbHeCGARxT4Bsd4IMkNJUS5OWVNFOlNQT1QuSVFfVE9UQUxfUkVWLkZZMjAxOC4zMS8xMi8yMDI1Li4uVVNEAQAAAMVOcg0CAAAACzYwMjEuMjk2MDg0AQgAAAAFAAAAATEBAAAACjIwNzg5NTQzNDkDAAAAAzE2MAIAAAACMjgEAAAAATAHAAAACjEyLzMxLzIwMjUIAAAACjEyLzMxLzIwMTgJAAAAATA0ZUUrAbHeCGARxT4Bsd4IMkNJUS5OWVNFOlNQT1QuSVFfVE9UQUxfUkVWLkZZMjAxOS4zMS8xMi8yMDI1Li4uVVNEAQAAAMVOcg0CAAAACzc1OTAuNjE4MzM1AQgAAAAFAAAAATEBAAAACy0yMTEzNzcwMDUyAwAAAAMxNjACAAAAAjI4BAAAAAEwBwAAAAoxMi8zMS8yMDI1CAAAAAoxMi8zMS8yMDE5CQAAAAEwNGVFKwGx3ghgEcU+AbHeCDJDSVEuTllTRTpTUE9ULklRX1RPVEFMX1JFVi5GWTIwMjAuMzEvMTIvMjAyNS4uLlVTRAEAAADFTnINAgAAAAs5NjM5LjE0MzcyOQEIAAAABQAAAAExAQAAAAstMjA2MjQ0MzM3OQMAAAADMTYwAgAAAAIyOAQAAAABMAcAAAAKMTIvMzEvMjAyNQgAAAAKMTIvMzEvMjAyMAkAAAABMDRlRSsBsd4IYBHFPgGx3ggyQ0lRLk5ZU0U6</t>
  </si>
  <si>
    <t>U1BPVC5JUV9UT1RBTF9SRVYuRlkyMDIxLjMxLzEyLzIwMjUuLi5VU0QBAAAAxU5yDQIAAAALMTA5OTUuMTA5NzUBCAAAAAUAAAABMQEAAAALLTIwMTA5OTkzNDUDAAAAAzE2MAIAAAACMjgEAAAAATAHAAAACjEyLzMxLzIwMjUIAAAACjEyLzMxLzIwMjEJAAAAATA0ZUUrAbHeCGARxT4Bsd4IMkNJUS5OWVNFOlNQT1QuSVFfVE9UQUxfUkVWLkZZMjAyMi4zMS8xMi8yMDI1Li4uVVNEAQAAAMVOcg0CAAAADDEyNTMyLjg2MzA5MwEIAAAABQAAAAExAQAAAAstMTk2MDkwMTkxMgMAAAADMTYwAgAAAAIyOAQAAAABMAcAAAAKMTIvMzEvMjAyNQgAAAAKMTIvMzEvMjAyMgkAAAABMDRlRSsBsd4IYBHFPgGx3ggyQ0lRLk5ZU0U6U1BPVC5JUV9UT1RBTF9SRVYuRlkyMDIzLjMxLzEyLzIwMjUuLi5VU0QBAAAAxU5yDQIAAAAMMTQ2NDIuNDIyODk4AQgAAAAFAAAAATEBAAAACy0xOTYwOTAxODkzAwAAAAMxNjACAAAAAjI4BAAAAAEwBwAAAAoxMi8zMS8yMDI1CAAAAAoxMi8zMS8yMDIzCQAAAAEwNGVFKwGx3ghgEcU+AbHeCDJDSVEuTllTRTpTUE9ULklRX1RPVEFMX1JFVi5GWTIwMjQuMzEvMTIvMjAyNS4uLlVTRAEAAADFTnINAgAAAAwxNjIyNi4zMTc0MjkBCAAAAAUAAAABMQEAAAALLTE5NjA5MDE5MTQDAAAAAzE2MAIAAAACMjgEAAAAATAHAAAACjEyLzMxLzIwMjUIAAAACjEyLzMxLzIwMjQJAAAAATA0ZUUr</t>
  </si>
  <si>
    <t>AbHeCGARxT4Bsd4IMkNJUS5OWVNFOlNQT1QuSVFfVE9UQUxfUkVWLkZZMjAyNS4zMS8xMi8yMDI1Li4uVVNEAQAAAMVOcg0DAAAAAAA0ZUUrAbHeCGARxT4Bsd4INkNJUS5OQVNEQVFHUzpST0tVLklRX1RPVEFMX1JFVi5GWTIwMTUuMzEvMTIvMjAyNS4uLlVTRAEAAABJmoQAAgAAAAczMTkuODU3AQgAAAAFAAAAATEBAAAACjE4NzY5OTU0MzgDAAAAAzE2MAIAAAACMjgEAAAAATAHAAAACjEyLzMxLzIwMjUIAAAACjEyLzI2LzIwMTUJAAAAATA0ZUUrAbHeCGARxT4Bsd4INkNJUS5OQVNEQVFHUzpST0tVLklRX1RPVEFMX1JFVi5GWTIwMTYuMzEvMTIvMjAyNS4uLlVTRAEAAABJmoQAAgAAAAczOTguNjQ5AQgAAAAFAAAAATEBAAAACjE5NDgwNjQ5NjgDAAAAAzE2MAIAAAACMjgEAAAAATAHAAAACjEyLzMxLzIwMjUIAAAACjEyLzMxLzIwMTYJAAAAATA0ZUUrAbHeCGARxT4Bsd4INkNJUS5OQVNEQVFHUzpST0tVLklRX1RPVEFMX1JFVi5GWTIwMTcuMzEvMTIvMjAyNS4uLlVTRAEAAABJmoQAAgAAAAc1MTIuNzYzAQgAAAAFAAAAATEBAAAACjIwMTg4NTAzNjIDAAAAAzE2MAIAAAACMjgEAAAAATAHAAAACjEyLzMxLzIwMjUIAAAACjEyLzMxLzIwMTcJAAAAATA0ZUUrAbHeCGARxT4Bsd4INkNJUS5OQVNEQVFHUzpST0tVLklRX1RPVEFMX1JFVi5GWTIwMTguMzEvMTIvMjAyNS4uLlVTRAEAAABJmoQAAgAA</t>
  </si>
  <si>
    <t>AAc3NDIuNTA2AQgAAAAFAAAAATEBAAAACjIwODIxMDA0ODgDAAAAAzE2MAIAAAACMjgEAAAAATAHAAAACjEyLzMxLzIwMjUIAAAACjEyLzMxLzIwMTgJAAAAATA0ZUUrAbHeCGARxT4Bsd4INkNJUS5OQVNEQVFHUzpST0tVLklRX1RPVEFMX1JFVi5GWTIwMTkuMzEvMTIvMjAyNS4uLlVTRAEAAABJmoQAAgAAAAgxMTI4LjkyMQEIAAAABQAAAAExAQAAAAstMjExMTYyOTk5NgMAAAADMTYwAgAAAAIyOAQAAAABMAcAAAAKMTIvMzEvMjAyNQgAAAAKMTIvMzEvMjAxOQkAAAABMDRlRSsBsd4IYBHFPgGx3gg2Q0lRLk5BU0RBUUdTOlJPS1UuSVFfVE9UQUxfUkVWLkZZMjAyMC4zMS8xMi8yMDI1Li4uVVNEAQAAAEmahAACAAAACDE3NzguMzg4AQgAAAAFAAAAATEBAAAACy0yMDYwNjMzNzY4AwAAAAMxNjACAAAAAjI4BAAAAAEwBwAAAAoxMi8zMS8yMDI1CAAAAAoxMi8zMS8yMDIwCQAAAAEwNGVFKwGx3ghgEcU+AbHeCDZDSVEuTkFTREFRR1M6Uk9LVS5JUV9UT1RBTF9SRVYuRlkyMDIxLjMxLzEyLzIwMjUuLi5VU0QBAAAASZqEAAIAAAAIMjc2NC41ODQBCAAAAAUAAAABMQEAAAALLTIwMDk5Mjc5NDQDAAAAAzE2MAIAAAACMjgEAAAAATAHAAAACjEyLzMxLzIwMjUIAAAACjEyLzMxLzIwMjEJAAAAATA0ZUUrAbHeCGARxT4Bsd4INkNJUS5OQVNEQVFHUzpST0tVLklRX1RPVEFMX1JFVi5GWTIwMjIuMzEvMTIv</t>
  </si>
  <si>
    <t>MjAyNS4uLlVTRAEAAABJmoQAAgAAAAgzMTI2LjUzNAEIAAAABQAAAAExAQAAAAstMTk1OTQ4NjE5MwMAAAADMTYwAgAAAAIyOAQAAAABMAcAAAAKMTIvMzEvMjAyNQgAAAAKMTIvMzEvMjAyMgkAAAABMDRlRSsBsd4IYBHFPgGx3gg2Q0lRLk5BU0RBUUdTOlJPS1UuSVFfVE9UQUxfUkVWLkZZMjAyMy4zMS8xMi8yMDI1Li4uVVNEAQAAAEmahAACAAAACDM0ODQuNjE5AQgAAAAFAAAAATEBAAAACy0xOTU5NDg2MTk2AwAAAAMxNjACAAAAAjI4BAAAAAEwBwAAAAoxMi8zMS8yMDI1CAAAAAoxMi8zMS8yMDIzCQAAAAEwNGVFKwGx3ghgEcU+AbHeCDZDSVEuTkFTREFRR1M6Uk9LVS5JUV9UT1RBTF9SRVYuRlkyMDI0LjMxLzEyLzIwMjUuLi5VU0QBAAAASZqEAAIAAAAINDExMi44OTgBCAAAAAUAAAABMQEAAAALLTE5NTk0ODYxOTADAAAAAzE2MAIAAAACMjgEAAAAATAHAAAACjEyLzMxLzIwMjUIAAAACjEyLzMxLzIwMjQJAAAAATA0ZUUrAbHeCGARxT4Bsd4INkNJUS5OQVNEQVFHUzpST0tVLklRX1RPVEFMX1JFVi5GWTIwMjUuMzEvMTIvMjAyNS4uLlVTRAEAAABJmoQAAwAAAAAANGVFKwGx3ghgEcU+AbHeCDRDSVEuTkFTREFRR1M6SVEuSVFfVE9UQUxfUkVWLkZZMjAxNS4zMS8xMi8yMDI1Li4uVVNEAQAAAMIo5QUCAAAACjgxOS4xODg5MTIBCAAAAAUAAAABMQEAAAAKMTg3NjU5MDg2NAMAAAADMTYwAgAA</t>
  </si>
  <si>
    <t>AAIyOAQAAAABMAcAAAAKMTIvMzEvMjAyNQgAAAAKMTIvMzEvMjAxNQkAAAABMDRlRSsBsd4I+qvCPgGx3gg0Q0lRLk5BU0RBUUdTOklRLklRX1RPVEFMX1JFVi5GWTIwMTYuMzEvMTIvMjAyNS4uLlVTRAEAAADCKOUFAgAAAAsxNjE4LjQzMDAyMQEIAAAABQAAAAExAQAAAAoxOTQ5ODE3MzEzAwAAAAMxNjACAAAAAjI4BAAAAAEwBwAAAAoxMi8zMS8yMDI1CAAAAAoxMi8zMS8yMDE2CQAAAAEwNGVFKwGx3gj6q8I+AbHeCDRDSVEuTkFTREFRR1M6SVEuSVFfVE9UQUxfUkVWLkZZMjAxNy4zMS8xMi8yMDI1Li4uVVNEAQAAAMIo5QUCAAAACzI2NzAuODM5Mjg0AQgAAAAFAAAAATEBAAAACjIwMjE1ODE0NjMDAAAAAzE2MAIAAAACMjgEAAAAATAHAAAACjEyLzMxLzIwMjUIAAAACjEyLzMxLzIwMTcJAAAAATA0ZUUrAbHeCPqrwj4Bsd4INENJUS5OQVNEQVFHUzpJUS5JUV9UT1RBTF9SRVYuRlkyMDE4LjMxLzEyLzIwMjUuLi5VU0QBAAAAwijlBQIAAAALMzYzMy4zNTM1OTQBCAAAAAUAAAABMQEAAAAKMjA4MzY4MTEzNAMAAAADMTYwAgAAAAIyOAQAAAABMAcAAAAKMTIvMzEvMjAyNQgAAAAKMTIvMzEvMjAxOAkAAAABMDRlRSsBsd4I+qvCPgGx3gg0Q0lRLk5BU0RBUUdTOklRLklRX1RPVEFMX1JFVi5GWTIwMTkuMzEvMTIvMjAyNS4uLlVTRAEAAADCKOUFAgAAAAs0MTY0LjAyMDQ1MwEIAAAABQAAAAExAQAA</t>
  </si>
  <si>
    <t>AAstMjEwNjYwNDA5OQMAAAADMTYwAgAAAAIyOAQAAAABMAcAAAAKMTIvMzEvMjAyNQgAAAAKMTIvMzEvMjAxOQkAAAABMDRlRSsBsd4I+qvCPgGx3gg0Q0lRLk5BU0RBUUdTOklRLklRX1RPVEFMX1JFVi5GWTIwMjAuMzEvMTIvMjAyNS4uLlVTRAEAAADCKOUFAgAAAAs0NTUwLjMxOTM1OQEIAAAABQAAAAExAQAAAAstMjA1NjA5MDMzNAMAAAADMTYwAgAAAAIyOAQAAAABMAcAAAAKMTIvMzEvMjAyNQgAAAAKMTIvMzEvMjAyMAkAAAABMDRlRSsBsd4I+qvCPgGx3gg0Q0lRLk5BU0RBUUdTOklRLklRX1RPVEFMX1JFVi5GWTIwMjEuMzEvMTIvMjAyNS4uLlVTRAEAAADCKOUFAgAAAAs0ODA5Ljc0MDcyOQEIAAAABQAAAAExAQAAAAstMjAwNjEwOTEzNgMAAAADMTYwAgAAAAIyOAQAAAABMAcAAAAKMTIvMzEvMjAyNQgAAAAKMTIvMzEvMjAyMQkAAAABMDRlRSsBsd4I+qvCPgGx3gg0Q0lRLk5BU0RBUUdTOklRLklRX1RPVEFMX1JFVi5GWTIwMjIuMzEvMTIvMjAyNS4uLlVTRAEAAADCKOUFAgAAAAs0MjA0LjI0OTI1MgEIAAAABQAAAAExAQAAAAstMTk1NDA4MTE2NAMAAAADMTYwAgAAAAIyOAQAAAABMAcAAAAKMTIvMzEvMjAyNQgAAAAKMTIvMzEvMjAyMgkAAAABMDRlRSsBsd4I+qvCPgGx3gg0Q0lRLk5BU0RBUUdTOklRLklRX1RPVEFMX1JFVi5GWTIwMjMuMzEvMTIvMjAyNS4uLlVTRAEAAADCKOUFAgAA</t>
  </si>
  <si>
    <t>AAs0NDk0Ljg2NjgwNwEIAAAABQAAAAExAQAAAAstMTk1NDA4MTE2MwMAAAADMTYwAgAAAAIyOAQAAAABMAcAAAAKMTIvMzEvMjAyNQgAAAAKMTIvMzEvMjAyMwkAAAABMDRlRSsBsd4I+qvCPgGx3gg0Q0lRLk5BU0RBUUdTOklRLklRX1RPVEFMX1JFVi5GWTIwMjQuMzEvMTIvMjAyNS4uLlVTRAEAAADCKOUFAgAAAAs0MDAzLjk1MDg5MwEIAAAABQAAAAExAQAAAAstMTk1NDA4MTE2MQMAAAADMTYwAgAAAAIyOAQAAAABMAcAAAAKMTIvMzEvMjAyNQgAAAAKMTIvMzEvMjAyNAkAAAABMDRlRSsBsd4I+qvCPgGx3gg0Q0lRLk5BU0RBUUdTOklRLklRX1RPVEFMX1JFVi5GWTIwMjUuMzEvMTIvMjAyNS4uLlVTRAEAAADCKOUFAwAAAAAANGVFKwGx3gj6q8I+AbHeCDZDSVEuTkFTREFRR1M6QklMSS5JUV9UT1RBTF9SRVYuRlkyMDE1LjMxLzEyLzIwMjUuLi5VU0QBAAAAIlxlEQIAAAAJMjAuMTc2NTExAQgAAAAFAAAAATEBAAAACjE4ODAwNDM2NDkDAAAAAzE2MAIAAAACMjgEAAAAATAHAAAACjEyLzMxLzIwMjUIAAAACjEyLzMxLzIwMTUJAAAAATA0ZUUrAbHeCGARxT4Bsd4INkNJUS5OQVNEQVFHUzpCSUxJLklRX1RPVEFMX1JFVi5GWTIwMTYuMzEvMTIvMjAyNS4uLlVTRAEAAAAiXGURAgAAAAk3NS4zNjc5NzUBCAAAAAUAAAABMQEAAAAKMTk1MTcyMTgwMwMAAAADMTYwAgAAAAIyOAQAAAABMAcAAAAKMTIv</t>
  </si>
  <si>
    <t>MzEvMjAyNQgAAAAKMTIvMzEvMjAxNgkAAAABMDRlRSsBsd4I+qvCPgGx3gg2Q0lRLk5BU0RBUUdTOkJJTEkuSVFfVE9UQUxfUkVWLkZZMjAxNy4zMS8xMi8yMDI1Li4uVVNEAQAAACJcZRECAAAACjM3OS4zNzAzNDEBCAAAAAUAAAABMQEAAAAKMjAyNDMwNDI3MwMAAAADMTYwAgAAAAIyOAQAAAABMAcAAAAKMTIvMzEvMjAyNQgAAAAKMTIvMzEvMjAxNwkAAAABMDRlRSsBsd4I+qvCPgGx3gg2Q0lRLk5BU0RBUUdTOkJJTEkuSVFfVE9UQUxfUkVWLkZZMjAxOC4zMS8xMi8yMDI1Li4uVVNEAQAAACJcZRECAAAACjYwMC4zMzYwMTQBCAAAAAUAAAABMQEAAAAKMjA4MzI5OTcwMgMAAAADMTYwAgAAAAIyOAQAAAABMAcAAAAKMTIvMzEvMjAyNQgAAAAKMTIvMzEvMjAxOAkAAAABMDRlRSsBsd4I+qvCPgGx3gg2Q0lRLk5BU0RBUUdTOkJJTEkuSVFfVE9UQUxfUkVWLkZZMjAxOS4zMS8xMi8yMDI1Li4uVVNEAQAAACJcZRECAAAACjk3My40MzM3NzEBCAAAAAUAAAABMQEAAAALLTIxMDE1MDI0NTEDAAAAAzE2MAIAAAACMjgEAAAAATAHAAAACjEyLzMxLzIwMjUIAAAACjEyLzMxLzIwMTkJAAAAATA0ZUUrAbHeCPqrwj4Bsd4INkNJUS5OQVNEQVFHUzpCSUxJLklRX1RPVEFMX1JFVi5GWTIwMjAuMzEvMTIvMjAyNS4uLlVTRAEAAAAiXGURAgAAAAsxODM3LjkwOTUwNAEIAAAABQAAAAExAQAAAAstMjA0OTAzMTYz</t>
  </si>
  <si>
    <t>MwMAAAADMTYwAgAAAAIyOAQAAAABMAcAAAAKMTIvMzEvMjAyNQgAAAAKMTIvMzEvMjAyMAkAAAABMDRlRSsBsd4I+qvCPgGx3gg2Q0lRLk5BU0RBUUdTOkJJTEkuSVFfVE9UQUxfUkVWLkZZMjAyMS4zMS8xMi8yMDI1Li4uVVNEAQAAACJcZRECAAAACzMwNTEuMjk5MzA2AQgAAAAFAAAAATEBAAAACy0yMDAyMzk4NTU1AwAAAAMxNjACAAAAAjI4BAAAAAEwBwAAAAoxMi8zMS8yMDI1CAAAAAoxMi8zMS8yMDIxCQAAAAEwNGVFKwGx3gj6q8I+AbHeCDZDSVEuTkFTREFRR1M6QklMSS5JUV9UT1RBTF9SRVYuRlkyMDIyLjMxLzEyLzIwMjUuLi5VU0QBAAAAIlxlEQIAAAALMzE3NS4wODA3NTEBCAAAAAUAAAABMQEAAAALLTE5NTQ0ODQ0NDEDAAAAAzE2MAIAAAACMjgEAAAAATAHAAAACjEyLzMxLzIwMjUIAAAACjEyLzMxLzIwMjIJAAAAATA0ZUUrAbHeCPqrwj4Bsd4INkNJUS5OQVNEQVFHUzpCSUxJLklRX1RPVEFMX1JFVi5GWTIwMjMuMzEvMTIvMjAyNS4uLlVTRAEAAAAiXGURAgAAAAszMTc3LjAyNzg4NQEIAAAABQAAAAExAQAAAAstMTk1NDQ4NDQ0OAMAAAADMTYwAgAAAAIyOAQAAAABMAcAAAAKMTIvMzEvMjAyNQgAAAAKMTIvMzEvMjAyMwkAAAABMDRlRSsBsd4I+qvCPgGx3gg2Q0lRLk5BU0RBUUdTOkJJTEkuSVFfVE9UQUxfUkVWLkZZMjAyNC4zMS8xMi8yMDI1Li4uVVNEAQAAACJcZRECAAAACzM2</t>
  </si>
  <si>
    <t>NzYuMDA0NTcxAQgAAAAFAAAAATEBAAAACy0xOTU0NDg0NDUyAwAAAAMxNjACAAAAAjI4BAAAAAEwBwAAAAoxMi8zMS8yMDI1CAAAAAoxMi8zMS8yMDI0CQAAAAEwNGVFKwGx3gj6q8I+AbHeCDZDSVEuTkFTREFRR1M6QklMSS5JUV9UT1RBTF9SRVYuRlkyMDI1LjMxLzEyLzIwMjUuLi5VU0QBAAAAIlxlEQMAAAAAADRlRSsBsd4I+qvCPgGx3ggxQ0lRLk5ZU0U6RElTLklRX1RPVEFMX1JFVi5GWTIwMTUuMzEvMTIvMjAyNS4uLlVTRAEAAABM7AIAAgAAAAU1MjQ2NQEIAAAABQAAAAExAQAAAAoxODY3Mjk4MDE4AwAAAAMxNjACAAAAAjI4BAAAAAEwBwAAAAoxMi8zMS8yMDI1CAAAAAkxMC8zLzIwMTUJAAAAATA0ZUUrAbHeCPqrwj4Bsd4IMUNJUS5OWVNFOkRJUy5JUV9UT1RBTF9SRVYuRlkyMDE2LjMxLzEyLzIwMjUuLi5VU0QBAAAATOwCAAIAAAAFNTU2MzIBCAAAAAUAAAABMQEAAAAKMTkyNTI5NTQyOQMAAAADMTYwAgAAAAIyOAQAAAABMAcAAAAKMTIvMzEvMjAyNQgAAAAJMTAvMS8yMDE2CQAAAAEwNGVFKwGx3gj6q8I+AbHeCDFDSVEuTllTRTpESVMuSVFfVE9UQUxfUkVWLkZZMjAxNy4zMS8xMi8yMDI1Li4uVVNEAQAAAEzsAgACAAAABTU1MTM3AQgAAAAFAAAAATEBAAAACjE5OTM4NTk0MTMDAAAAAzE2MAIAAAACMjgEAAAAATAHAAAACjEyLzMxLzIwMjUIAAAACTkvMzAvMjAxNwkAAAABMDRlRSsB</t>
  </si>
  <si>
    <t>sd4I+qvCPgGx3ggxQ0lRLk5ZU0U6RElTLklRX1RPVEFMX1JFVi5GWTIwMTguMzEvMTIvMjAyNS4uLlVTRAEAAABM7AIAAgAAAAU1OTQzNAEIAAAABQAAAAExAQAAAAoyMDcyOTExNTI5AwAAAAMxNjACAAAAAjI4BAAAAAEwBwAAAAoxMi8zMS8yMDI1CAAAAAk5LzI5LzIwMTgJAAAAATA0ZUUrAbHeCPqrwj4Bsd4IMUNJUS5OWVNFOkRJUy5JUV9UT1RBTF9SRVYuRlkyMDE5LjMxLzEyLzIwMjUuLi5VU0QBAAAATOwCAAIAAAAFNjk2MDcBCAAAAAUAAAABMQEAAAALLTIxMTkyOTI5NTADAAAAAzE2MAIAAAACMjgEAAAAATAHAAAACjEyLzMxLzIwMjUIAAAACTkvMjgvMjAxOQkAAAABMDRlRSsBsd4I+qvCPgGx3ggxQ0lRLk5ZU0U6RElTLklRX1RPVEFMX1JFVi5GWTIwMjAuMzEvMTIvMjAyNS4uLlVTRAEAAABM7AIAAgAAAAU2NTM4OAEIAAAABQAAAAExAQAAAAstMjA2Njc5Mjg2MwMAAAADMTYwAgAAAAIyOAQAAAABMAcAAAAKMTIvMzEvMjAyNQgAAAAJMTAvMy8yMDIwCQAAAAEwNGVFKwGx3gj6q8I+AbHeCDFDSVEuTllTRTpESVMuSVFfVE9UQUxfUkVWLkZZMjAyMS4zMS8xMi8yMDI1Li4uVVNEAQAAAEzsAgACAAAABTY3NDE4AQgAAAAFAAAAATEBAAAACy0yMDE3NTA4MjU4AwAAAAMxNjACAAAAAjI4BAAAAAEwBwAAAAoxMi8zMS8yMDI1CAAAAAkxMC8yLzIwMjEJAAAAATA0ZUUrAbHeCPqrwj4Bsd4IMUNJ</t>
  </si>
  <si>
    <t>US5OWVNFOkRJUy5JUV9UT1RBTF9SRVYuRlkyMDIyLjMxLzEyLzIwMjUuLi5VU0QBAAAATOwCAAIAAAAFODI3MjIBCAAAAAUAAAABMQEAAAALLTE5NjkwMDYzODUDAAAAAzE2MAIAAAACMjgEAAAAATAHAAAACjEyLzMxLzIwMjUIAAAACTEwLzEvMjAyMgkAAAABMDRlRSsBsd4I+qvCPgGx3ggxQ0lRLk5ZU0U6RElTLklRX1RPVEFMX1JFVi5GWTIwMjMuMzEvMTIvMjAyNS4uLlVTRAEAAABM7AIAAgAAAAU4ODg5OAEIAAAABQAAAAExAQAAAAstMTkxNzAxNjExNgMAAAADMTYwAgAAAAIyOAQAAAABMAcAAAAKMTIvMzEvMjAyNQgAAAAJOS8zMC8yMDIzCQAAAAEwNGVFKwGx3gj6q8I+AbHeCDFDSVEuTllTRTpESVMuSVFfVE9UQUxfUkVWLkZZMjAyNC4zMS8xMi8yMDI1Li4uVVNEAQAAAEzsAgACAAAABTkxMzYxAQgAAAAFAAAAATEBAAAACy0xOTE3MDE2MTI4AwAAAAMxNjACAAAAAjI4BAAAAAEwBwAAAAoxMi8zMS8yMDI1CAAAAAk5LzI4LzIwMjQJAAAAATA0ZUUrAbHeCPqrwj4Bsd4IMUNJUS5OWVNFOkRJUy5JUV9UT1RBTF9SRVYuRlkyMDI1LjMxLzEyLzIwMjUuLi5VU0QBAAAATOwCAAIAAAAFOTQ0MjUBCAAAAAUAAAABMQEAAAALLTE5MTcwMTYxNTEDAAAAAzE2MAIAAAACMjgEAAAAATAHAAAACjEyLzMxLzIwMjUIAAAACTkvMjcvMjAyNQkAAAABMDRlRSsBsd4I+qvCPgGx3gg1Q0lRLk5BU0RBUUdTOldC</t>
  </si>
  <si>
    <t>RC5JUV9UT1RBTF9SRVYuRlkyMDE1LjMxLzEyLzIwMjUuLi5VU0QBAAAAbdtZAQIAAAAENjM5NAEIAAAABQAAAAExAQAAAAoxODc3MjM2NzI5AwAAAAMxNjACAAAAAjI4BAAAAAEwBwAAAAoxMi8zMS8yMDI1CAAAAAoxMi8zMS8yMDE1CQAAAAEwNGVFKwGx3ghgEcU+AbHeCDVDSVEuTkFTREFRR1M6V0JELklRX1RPVEFMX1JFVi5GWTIwMTYuMzEvMTIvMjAyNS4uLlVTRAEAAABt21kBAgAAAAQ2NDk3AQgAAAAFAAAAATEBAAAACjE5NDgwOTg5MTQDAAAAAzE2MAIAAAACMjgEAAAAATAHAAAACjEyLzMxLzIwMjUIAAAACjEyLzMxLzIwMTYJAAAAATA0ZUUrAbHeCGARxT4Bsd4INUNJUS5OQVNEQVFHUzpXQkQuSVFfVE9UQUxfUkVWLkZZMjAxNy4zMS8xMi8yMDI1Li4uVVNEAQAAAG3bWQECAAAABDY4NzMBCAAAAAUAAAABMQEAAAAKMjAxODEwNDYwMQMAAAADMTYwAgAAAAIyOAQAAAABMAcAAAAKMTIvMzEvMjAyNQgAAAAKMTIvMzEvMjAxNwkAAAABMDRlRSsBsd4IYBHFPgGx3gg1Q0lRLk5BU0RBUUdTOldCRC5JUV9UT1RBTF9SRVYuRlkyMDE4LjMxLzEyLzIwMjUuLi5VU0QBAAAAbdtZAQIAAAAFMTA1NTMBCAAAAAUAAAABMQEAAAAKMjA4MTMwMjM2MwMAAAADMTYwAgAAAAIyOAQAAAABMAcAAAAKMTIvMzEvMjAyNQgAAAAKMTIvMzEvMjAxOAkAAAABMDRlRSsBsd4IYBHFPgGx3gg1Q0lRLk5BU0RBUUdTOldC</t>
  </si>
  <si>
    <t>RC5JUV9UT1RBTF9SRVYuRlkyMDE5LjMxLzEyLzIwMjUuLi5VU0QBAAAAbdtZAQIAAAAFMTExNDQBCAAAAAUAAAABMQEAAAALLTIxMTA2Nzc4NjADAAAAAzE2MAIAAAACMjgEAAAAATAHAAAACjEyLzMxLzIwMjUIAAAACjEyLzMxLzIwMTkJAAAAATA0ZUUrAbHeCGARxT4Bsd4INUNJUS5OQVNEQVFHUzpXQkQuSVFfVE9UQUxfUkVWLkZZMjAyMC4zMS8xMi8yMDI1Li4uVVNEAQAAAG3bWQECAAAABTEwNjcxAQgAAAAFAAAAATEBAAAACy0yMDU5NjQ5ODg2AwAAAAMxNjACAAAAAjI4BAAAAAEwBwAAAAoxMi8zMS8yMDI1CAAAAAoxMi8zMS8yMDIwCQAAAAEwNGVFKwGx3ghgEcU+AbHeCDVDSVEuTkFTREFRR1M6V0JELklRX1RPVEFMX1JFVi5GWTIwMjEuMzEvMTIvMjAyNS4uLlVTRAEAAABt21kBAgAAAAUxMjE5MQEIAAAABQAAAAExAQAAAAstMjAwODg2Nzc5NAMAAAADMTYwAgAAAAIyOAQAAAABMAcAAAAKMTIvMzEvMjAyNQgAAAAKMTIvMzEvMjAyMQkAAAABMDRlRSsBsd4IYBHFPgGx3gg1Q0lRLk5BU0RBUUdTOldCRC5JUV9UT1RBTF9SRVYuRlkyMDIyLjMxLzEyLzIwMjUuLi5VU0QBAAAAbdtZAQIAAAAFMzM4MTcBCAAAAAUAAAABMQEAAAALLTE5NTc0NjE5MTEDAAAAAzE2MAIAAAACMjgEAAAAATAHAAAACjEyLzMxLzIwMjUIAAAACjEyLzMxLzIwMjIJAAAAATA0ZUUrAbHeCGARxT4Bsd4INUNJUS5OQVNE</t>
  </si>
  <si>
    <t>QVFHUzpXQkQuSVFfVE9UQUxfUkVWLkZZMjAyMy4zMS8xMi8yMDI1Li4uVVNEAQAAAG3bWQECAAAABTQxMzIxAQgAAAAFAAAAATEBAAAACy0xOTU3NDYxOTU2AwAAAAMxNjACAAAAAjI4BAAAAAEwBwAAAAoxMi8zMS8yMDI1CAAAAAoxMi8zMS8yMDIzCQAAAAEwNGVFKwGx3ghgEcU+AbHeCDVDSVEuTkFTREFRR1M6V0JELklRX1RPVEFMX1JFVi5GWTIwMjQuMzEvMTIvMjAyNS4uLlVTRAEAAABt21kBAgAAAAUzOTMyMQEIAAAABQAAAAExAQAAAAstMTk1NzQ2MTk1MwMAAAADMTYwAgAAAAIyOAQAAAABMAcAAAAKMTIvMzEvMjAyNQgAAAAKMTIvMzEvMjAyNAkAAAABMDRlRSsBsd4IYBHFPgGx3gg1Q0lRLk5BU0RBUUdTOldCRC5JUV9UT1RBTF9SRVYuRlkyMDI1LjMxLzEyLzIwMjUuLi5VU0QBAAAAbdtZAQMAAAAAADRlRSsBsd4I+qvCPgGx3gg2Q0lRLk5BU0RBUUdTOlBTS1kuSVFfVE9UQUxfUkVWLkZZMjAxNS4zMS8xMi8yMDI1Li4uVVNEAQAAAB+ipwECAAAABTEyNjcxAQgAAAAFAAAAATEBAAAACjE4NzUxOTYyNjgDAAAAAzE2MAIAAAACMjgEAAAAATAHAAAACjEyLzMxLzIwMjUIAAAACjEyLzMxLzIwMTUJAAAAATA0ZUUrAbHeCPqrwj4Bsd4INkNJUS5OQVNEQVFHUzpQU0tZLklRX1RPVEFMX1JFVi5GWTIwMTYuMzEvMTIvMjAyNS4uLlVTRAEAAAAfoqcBAgAAAAUxMzE2NgEIAAAABQAAAAExAQAAAAox</t>
  </si>
  <si>
    <t>OTQ1Mjc2ODQ5AwAAAAMxNjACAAAAAjI4BAAAAAEwBwAAAAoxMi8zMS8yMDI1CAAAAAoxMi8zMS8yMDE2CQAAAAEwNGVFKwGx3gj6q8I+AbHeCDZDSVEuTkFTREFRR1M6UFNLWS5JUV9UT1RBTF9SRVYuRlkyMDE3LjMxLzEyLzIwMjUuLi5VU0QBAAAAH6KnAQIAAAAFMjY1MzUBCAAAAAUAAAABMQEAAAAKMjAxNjIzMTc1MgMAAAADMTYwAgAAAAIyOAQAAAABMAcAAAAKMTIvMzEvMjAyNQgAAAAKMTIvMzEvMjAxNwkAAAABMDRlRSsBsd4I+qvCPgGx3gg2Q0lRLk5BU0RBUUdTOlBTS1kuSVFfVE9UQUxfUkVWLkZZMjAxOC4zMS8xMi8yMDI1Li4uVVNEAQAAAB+ipwECAAAABTI2NDI1AQgAAAAFAAAAATEBAAAACjIwODE1ODQ5MzcDAAAAAzE2MAIAAAACMjgEAAAAATAHAAAACjEyLzMxLzIwMjUIAAAACjEyLzMxLzIwMTgJAAAAATA0ZUUrAbHeCPqrwj4Bsd4INkNJUS5OQVNEQVFHUzpQU0tZLklRX1RPVEFMX1JFVi5GWTIwMTkuMzEvMTIvMjAyNS4uLlVTRAEAAAAfoqcBAgAAAAUyNjk5OAEIAAAABQAAAAExAQAAAAstMjExMjE4NjQxNAMAAAADMTYwAgAAAAIyOAQAAAABMAcAAAAKMTIvMzEvMjAyNQgAAAAKMTIvMzEvMjAxOQkAAAABMDRlRSsBsd4I+qvCPgGx3gg2Q0lRLk5BU0RBUUdTOlBTS1kuSVFfVE9UQUxfUkVWLkZZMjAyMC4zMS8xMi8yMDI1Li4uVVNEAQAAAB+ipwECAAAABTI1Mjg1AQgAAAAFAAAA</t>
  </si>
  <si>
    <t>ATEBAAAACy0yMDYwNzE1ODk5AwAAAAMxNjACAAAAAjI4BAAAAAEwBwAAAAoxMi8zMS8yMDI1CAAAAAoxMi8zMS8yMDIwCQAAAAEwNGVFKwGx3gj6q8I+AbHeCDZDSVEuTkFTREFRR1M6UFNLWS5JUV9UT1RBTF9SRVYuRlkyMDIxLjMxLzEyLzIwMjUuLi5VU0QBAAAAH6KnAQIAAAAFMjg1ODYBCAAAAAUAAAABMQEAAAALLTIwMDgxOTA2NjcDAAAAAzE2MAIAAAACMjgEAAAAATAHAAAACjEyLzMxLzIwMjUIAAAACjEyLzMxLzIwMjEJAAAAATA0ZUUrAbHeCPqrwj4Bsd4INkNJUS5OQVNEQVFHUzpQU0tZLklRX1RPVEFMX1JFVi5GWTIwMjIuMzEvMTIvMjAyNS4uLlVTRAEAAAAfoqcBAgAAAAUzMDE1NAEIAAAABQAAAAExAQAAAAstMTk1ODE2ODc4MAMAAAADMTYwAgAAAAIyOAQAAAABMAcAAAAKMTIvMzEvMjAyNQgAAAAKMTIvMzEvMjAyMgkAAAABMDRlRSsBsd4I+qvCPgGx3gg2Q0lRLk5BU0RBUUdTOlBTS1kuSVFfVE9UQUxfUkVWLkZZMjAyMy4zMS8xMi8yMDI1Li4uVVNEAQAAAB+ipwECAAAABTI5NjUyAQgAAAAFAAAAATEBAAAACy0xOTU4MTY4Nzc5AwAAAAMxNjACAAAAAjI4BAAAAAEwBwAAAAoxMi8zMS8yMDI1CAAAAAoxMi8zMS8yMDIzCQAAAAEwNGVFKwGx3gj6q8I+AbHeCDZDSVEuTkFTREFRR1M6UFNLWS5JUV9UT1RBTF9SRVYuRlkyMDI0LjMxLzEyLzIwMjUuLi5VU0QBAAAAH6KnAQIAAAAFMjky</t>
  </si>
  <si>
    <t>MTMBCAAAAAUAAAABMQEAAAALLTE5NTgxNjg3NzgDAAAAAzE2MAIAAAACMjgEAAAAATAHAAAACjEyLzMxLzIwMjUIAAAACjEyLzMxLzIwMjQJAAAAATA0ZUUrAbHeCPqrwj4Bsd4INkNJUS5OQVNEQVFHUzpQU0tZLklRX1RPVEFMX1JFVi5GWTIwMjUuMzEvMTIvMjAyNS4uLlVTRAEAAAAfoqcBAwAAAAAANGVFKwGx3gj6q8I+AbHeCDdDSVEuTkFTREFRR1M6Q01DU0EuSVFfVE9UQUxfUkVWLkZZMjAxNS4zMS8xMi8yMDI1Li4uVVNEAQAAAB2lAgACAAAABTc0NTEwAQgAAAAFAAAAATEBAAAACjE4NzI3OTI0MTIDAAAAAzE2MAIAAAACMjgEAAAAATAHAAAACjEyLzMxLzIwMjUIAAAACjEyLzMxLzIwMTUJAAAAATA0ZUUrAbHeCPqrwj4Bsd4IN0NJUS5OQVNEQVFHUzpDTUNTQS5JUV9UT1RBTF9SRVYuRlkyMDE2LjMxLzEyLzIwMjUuLi5VU0QBAAAAHaUCAAIAAAAFODA3MzYBCAAAAAUAAAABMQEAAAAKMTk0MzQyOTg3NwMAAAADMTYwAgAAAAIyOAQAAAABMAcAAAAKMTIvMzEvMjAyNQgAAAAKMTIvMzEvMjAxNgkAAAABMDRlRSsBsd4I+qvCPgGx3gg3Q0lRLk5BU0RBUUdTOkNNQ1NBLklRX1RPVEFMX1JFVi5GWTIwMTcuMzEvMTIvMjAyNS4uLlVTRAEAAAAdpQIAAgAAAAU4NTAyOQEIAAAABQAAAAExAQAAAAoyMDAzODc3ODA1AwAAAAMxNjACAAAAAjI4BAAAAAEwBwAAAAoxMi8zMS8yMDI1CAAAAAoxMi8zMS8y</t>
  </si>
  <si>
    <t>MDE3CQAAAAEwNGVFKwGx3gj6q8I+AbHeCDdDSVEuTkFTREFRR1M6Q01DU0EuSVFfVE9UQUxfUkVWLkZZMjAxOC4zMS8xMi8yMDI1Li4uVVNEAQAAAB2lAgACAAAABTk0NTA3AQgAAAAFAAAAATEBAAAACjIwNzg4MzAyNzMDAAAAAzE2MAIAAAACMjgEAAAAATAHAAAACjEyLzMxLzIwMjUIAAAACjEyLzMxLzIwMTgJAAAAATA0ZUUrAbHeCPqrwj4Bsd4IN0NJUS5OQVNEQVFHUzpDTUNTQS5JUV9UT1RBTF9SRVYuRlkyMDE5LjMxLzEyLzIwMjUuLi5VU0QBAAAAHaUCAAIAAAAGMTA4OTQyAQgAAAAFAAAAATEBAAAACy0yMTE0MDA4OTg4AwAAAAMxNjACAAAAAjI4BAAAAAEwBwAAAAoxMi8zMS8yMDI1CAAAAAoxMi8zMS8yMDE5CQAAAAEwNGVFKwGx3gj6q8I+AbHeCDdDSVEuTkFTREFRR1M6Q01DU0EuSVFfVE9UQUxfUkVWLkZZMjAyMC4zMS8xMi8yMDI1Li4uVVNEAQAAAB2lAgACAAAABjEwMzU2NAEIAAAABQAAAAExAQAAAAstMjA2MjM4MjQ5MwMAAAADMTYwAgAAAAIyOAQAAAABMAcAAAAKMTIvMzEvMjAyNQgAAAAKMTIvMzEvMjAyMAkAAAABMDRlRSsBsd4I+qvCPgGx3gg3Q0lRLk5BU0RBUUdTOkNNQ1NBLklRX1RPVEFMX1JFVi5GWTIwMjEuMzEvMTIvMjAyNS4uLlVTRAEAAAAdpQIAAgAAAAYxMTYzODUBCAAAAAUAAAABMQEAAAALLTIwMTIwMjcxMzYDAAAAAzE2MAIAAAACMjgEAAAAATAHAAAACjEyLzMx</t>
  </si>
  <si>
    <t>LzIwMjUIAAAACjEyLzMxLzIwMjEJAAAAATA0ZUUrAbHeCPqrwj4Bsd4IN0NJUS5OQVNEQVFHUzpDTUNTQS5JUV9UT1RBTF9SRVYuRlkyMDIyLjMxLzEyLzIwMjUuLi5VU0QBAAAAHaUCAAIAAAAGMTIxNDI3AQgAAAAFAAAAATEBAAAACy0xOTYxMzU2ODkxAwAAAAMxNjACAAAAAjI4BAAAAAEwBwAAAAoxMi8zMS8yMDI1CAAAAAoxMi8zMS8yMDIyCQAAAAEwNGVFKwGx3gj6q8I+AbHeCDdDSVEuTkFTREFRR1M6Q01DU0EuSVFfVE9UQUxfUkVWLkZZMjAyMy4zMS8xMi8yMDI1Li4uVVNEAQAAAB2lAgACAAAABjEyMTU3MgEIAAAABQAAAAExAQAAAAstMTk2MTM1Njg5MgMAAAADMTYwAgAAAAIyOAQAAAABMAcAAAAKMTIvMzEvMjAyNQgAAAAKMTIvMzEvMjAyMwkAAAABMDRlRSsBsd4I+qvCPgGx3gg3Q0lRLk5BU0RBUUdTOkNNQ1NBLklRX1RPVEFMX1JFVi5GWTIwMjQuMzEvMTIvMjAyNS4uLlVTRAEAAAAdpQIAAgAAAAYxMjM3MzEBCAAAAAUAAAABMQEAAAALLTE5NjEzNTY5MDkDAAAAAzE2MAIAAAACMjgEAAAAATAHAAAACjEyLzMxLzIwMjUIAAAACjEyLzMxLzIwMjQJAAAAATA0ZUUrAbHeCPqrwj4Bsd4IN0NJUS5OQVNEQVFHUzpDTUNTQS5JUV9UT1RBTF9SRVYuRlkyMDI1LjMxLzEyLzIwMjUuLi5VU0QBAAAAHaUCAAMAAAAAADRlRSsBsd4I+qvCPgGx3ggvQ0lRLk5BU0RBUUdTOk5GTFguSVFfR1AuRlky</t>
  </si>
  <si>
    <t>MDE1LjMxLzEyLzIwMjUuLi5VU0QBAAAADH0AAAIAAAAIMjE4OC4wMzUBCAAAAAUAAAABMQEAAAAKMTg3MzA4NTg4NQMAAAADMTYwAgAAAAIxMAQAAAABMAcAAAAKMTIvMzEvMjAyNQgAAAAKMTIvMzEvMjAxNQkAAAABMDRlRSsBsd4InTzAPgGx3ggvQ0lRLk5BU0RBUUdTOk5GTFguSVFfR1AuRlkyMDE2LjMxLzEyLzIwMjUuLi5VU0QBAAAADH0AAAIAAAAIMjU3My4yMDcBCwAAAAUAAAACMTYHAAAABTMyMDEyAQAAAAk3MTcwMzI1NTkCAAAAAjEwCQAAAAEwCgAAAAE0BgAAAAExBAAAAAEwAwAAAAMxNjALAAAACjEyLzMxLzIwMjUIAAAAATA0ZUUrAbHeCJ08wD4Bsd4IL0NJUS5OQVNEQVFHUzpORkxYLklRX0dQLkZZMjAxNy4zMS8xMi8yMDI1Li4uVVNEAQAAAAx9AAACAAAACDM2NTkuNzEzAQgAAAAFAAAAATEBAAAACjIwMDMxNTAwMDYDAAAAAzE2MAIAAAACMTAEAAAAATAHAAAACjEyLzMxLzIwMjUIAAAACjEyLzMxLzIwMTcJAAAAATA0ZUUrAbHeCJ08wD4Bsd4IL0NJUS5OQVNEQVFHUzpORkxYLklRX0dQLkZZMjAxOC4zMS8xMi8yMDI1Li4uVVNEAQAAAAx9AAACAAAACDU4MjYuODAzAQgAAAAFAAAAATEBAAAACjIwNzc2OTAxNjADAAAAAzE2MAIAAAACMTAEAAAAATAHAAAACjEyLzMxLzIwMjUIAAAACjEyLzMxLzIwMTgJAAAAATA0ZUUrAbHeCJ08wD4Bsd4IL0NJUS5OQVNEQVFHUzpORkxYLklRX0dQ</t>
  </si>
  <si>
    <t>LkZZMjAxOS4zMS8xMi8yMDI1Li4uVVNEAQAAAAx9AAACAAAACDc3MTYuMjM0AQgAAAAFAAAAATEBAAAACy0yMTE0NTI1MDk5AwAAAAMxNjACAAAAAjEwBAAAAAEwBwAAAAoxMi8zMS8yMDI1CAAAAAoxMi8zMS8yMDE5CQAAAAEwNGVFKwGx3gidPMA+AbHeCC9DSVEuTkFTREFRR1M6TkZMWC5JUV9HUC5GWTIwMjAuMzEvMTIvMjAyNS4uLlVTRAEAAAAMfQAAAgAAAAg5NzE5LjczNwEIAAAABQAAAAExAQAAAAstMjExNDUyNTA4NwMAAAADMTYwAgAAAAIxMAQAAAABMAcAAAAKMTIvMzEvMjAyNQgAAAAKMTIvMzEvMjAyMAkAAAABMDRlRSsBsd4InTzAPgGx3ggvQ0lRLk5BU0RBUUdTOk5GTFguSVFfR1AuRlkyMDIxLjMxLzEyLzIwMjUuLi5VU0QBAAAADH0AAAIAAAAJMTIzNjUuMTYxAQgAAAAFAAAAATEBAAAACy0yMDEyNDE1Nzc2AwAAAAMxNjACAAAAAjEwBAAAAAEwBwAAAAoxMi8zMS8yMDI1CAAAAAoxMi8zMS8yMDIxCQAAAAEwNGVFKwGx3gidPMA+AbHeCC9DSVEuTkFTREFRR1M6TkZMWC5JUV9HUC5GWTIwMjIuMzEvMTIvMjAyNS4uLlVTRAEAAAAMfQAAAgAAAAkxMjQ0Ny4yNjUBCAAAAAUAAAABMQEAAAALLTE5NjE4MjQ5NzADAAAAAzE2MAIAAAACMTAEAAAAATAHAAAACjEyLzMxLzIwMjUIAAAACjEyLzMxLzIwMjIJAAAAATA0ZUUrAbHeCJ08wD4Bsd4IL0NJUS5OQVNEQVFHUzpORkxYLklRX0dQLkZZ</t>
  </si>
  <si>
    <t>MjAyMy4zMS8xMi8yMDI1Li4uVVNEAQAAAAx9AAACAAAACTE0MDA3LjkyOQEIAAAABQAAAAExAQAAAAstMTk2MTgyNDk2OQMAAAADMTYwAgAAAAIxMAQAAAABMAcAAAAKMTIvMzEvMjAyNQgAAAAKMTIvMzEvMjAyMwkAAAABMDRlRSsBsd4InTzAPgGx3ggvQ0lRLk5BU0RBUUdTOk5GTFguSVFfR1AuRlkyMDI0LjMxLzEyLzIwMjUuLi5VU0QBAAAADH0AAAIAAAAJMTc5NjIuNTAyAQgAAAAFAAAAATEBAAAACy0xOTYxODI0OTY3AwAAAAMxNjACAAAAAjEwBAAAAAEwBwAAAAoxMi8zMS8yMDI1CAAAAAoxMi8zMS8yMDI0CQAAAAEwNGVFKwGx3gidPMA+AbHeCC9DSVEuTkFTREFRR1M6TkZMWC5JUV9HUC5GWTIwMjUuMzEvMTIvMjAyNS4uLlVTRAEAAAAMfQAAAwAAAAAANGVFKwGx3gidPMA+AbHeCCtDSVEuTllTRTpTUE9ULklRX0dQLkZZMjAxNS4zMS8xMi8yMDI1Li4uVVNEAQAAAMVOcg0CAAAACjI0NS41MDU0MDQBCAAAAAUAAAABMQEAAAAKMTg4MTM5MjM1MAMAAAADMTYwAgAAAAIxMAQAAAABMAcAAAAKMTIvMzEvMjAyNQgAAAAIMS8xLzIwMTYJAAAAATA0ZUUrAbHeCJ08wD4Bsd4IK0NJUS5OWVNFOlNQT1QuSVFfR1AuRlkyMDE2LjMxLzEyLzIwMjUuLi5VU0QBAAAAxU5yDQIAAAAJNDIzLjMwODM1AQgAAAAFAAAAATEBAAAACjE5NDQ1Mzk3MzADAAAAAzE2MAIAAAACMTAEAAAAATAHAAAACjEyLzMxLzIw</t>
  </si>
  <si>
    <t>MjUIAAAACjEyLzMxLzIwMTYJAAAAATA0ZUUrAbHeCJ08wD4Bsd4IK0NJUS5OWVNFOlNQT1QuSVFfR1AuRlkyMDE3LjMxLzEyLzIwMjUuLi5VU0QBAAAAxU5yDQIAAAAKMTAxOS40NTI0NQEIAAAABQAAAAExAQAAAAoyMDEzMTg1OTA2AwAAAAMxNjACAAAAAjEwBAAAAAEwBwAAAAoxMi8zMS8yMDI1CAAAAAoxMi8zMS8yMDE3CQAAAAEwNGVFKwGx3gidPMA+AbHeCCtDSVEuTllTRTpTUE9ULklRX0dQLkZZMjAxOC4zMS8xMi8yMDI1Li4uVVNEAQAAAMVOcg0CAAAACzE1NDkuMTE4Mzg4AQgAAAAFAAAAATEBAAAACjIwNzg5NTQzNDkDAAAAAzE2MAIAAAACMTAEAAAAATAHAAAACjEyLzMxLzIwMjUIAAAACjEyLzMxLzIwMTgJAAAAATA0ZUUrAbHeCJ08wD4Bsd4IK0NJUS5OWVNFOlNQT1QuSVFfR1AuRlkyMDE5LjMxLzEyLzIwMjUuLi5VU0QBAAAAxU5yDQIAAAALMTkzMi40NDMwNDcBCAAAAAUAAAABMQEAAAALLTIxMTM3NzAwNTIDAAAAAzE2MAIAAAACMTAEAAAAATAHAAAACjEyLzMxLzIwMjUIAAAACjEyLzMxLzIwMTkJAAAAATA0ZUUrAbHeCJ08wD4Bsd4IK0NJUS5OWVNFOlNQT1QuSVFfR1AuRlkyMDIwLjMxLzEyLzIwMjUuLi5VU0QBAAAAxU5yDQIAAAALMjQ2NC44MzE4MDQBCAAAAAUAAAABMQEAAAALLTIwNjI0NDMzNzkDAAAAAzE2MAIAAAACMTAEAAAAATAHAAAACjEyLzMxLzIwMjUIAAAACjEyLzMx</t>
  </si>
  <si>
    <t>LzIwMjAJAAAAATA0ZUUrAbHeCJ08wD4Bsd4IK0NJUS5OWVNFOlNQT1QuSVFfR1AuRlkyMDIxLjMxLzEyLzIwMjUuLi5VU0QBAAAAxU5yDQIAAAALMjk0Ni42NjIxMTkBCAAAAAUAAAABMQEAAAALLTIwMTA5OTkzNDUDAAAAAzE2MAIAAAACMTAEAAAAATAHAAAACjEyLzMxLzIwMjUIAAAACjEyLzMxLzIwMjEJAAAAATA0ZUUrAbHeCJ08wD4Bsd4IK0NJUS5OWVNFOlNQT1QuSVFfR1AuRlkyMDIyLjMxLzEyLzIwMjUuLi5VU0QBAAAAxU5yDQIAAAALMzEyNy4wNzA2NDEBCAAAAAUAAAABMQEAAAALLTE5NjA5MDE5MTIDAAAAAzE2MAIAAAACMTAEAAAAATAHAAAACjEyLzMxLzIwMjUIAAAACjEyLzMxLzIwMjIJAAAAATA0ZUUrAbHeCJ08wD4Bsd4IK0NJUS5OWVNFOlNQT1QuSVFfR1AuRlkyMDIzLjMxLzEyLzIwMjUuLi5VU0QBAAAAxU5yDQIAAAALMzgxMS4yMDgxMzQBCAAAAAUAAAABMQEAAAALLTE5NjA5MDE4OTMDAAAAAzE2MAIAAAACMTAEAAAAATAHAAAACjEyLzMxLzIwMjUIAAAACjEyLzMxLzIwMjMJAAAAATA0ZUUrAbHeCJ08wD4Bsd4IK0NJUS5OWVNFOlNQT1QuSVFfR1AuRlkyMDI0LjMxLzEyLzIwMjUuLi5VU0QBAAAAxU5yDQIAAAAKNDkwOC4zNzU2MQEIAAAABQAAAAExAQAAAAstMTk2MDkwMTkxNAMAAAADMTYwAgAAAAIxMAQAAAABMAcAAAAKMTIvMzEvMjAyNQgAAAAKMTIvMzEvMjAyNAkAAAAB</t>
  </si>
  <si>
    <t>MDRlRSsBsd4InTzAPgGx3ggrQ0lRLk5ZU0U6U1BPVC5JUV9HUC5GWTIwMjUuMzEvMTIvMjAyNS4uLlVTRAEAAADFTnINAwAAAAAANGVFKwGx3gidPMA+AbHeCC9DSVEuTkFTREFRR1M6Uk9LVS5JUV9HUC5GWTIwMTUuMzEvMTIvMjAyNS4uLlVTRAEAAABJmoQAAgAAAAY4OS43NzgBCAAAAAUAAAABMQEAAAAKMTg3Njk5NTQzOAMAAAADMTYwAgAAAAIxMAQAAAABMAcAAAAKMTIvMzEvMjAyNQgAAAAKMTIvMjYvMjAxNQkAAAABMDRlRSsBsd4InTzAPgGx3ggvQ0lRLk5BU0RBUUdTOlJPS1UuSVFfR1AuRlkyMDE2LjMxLzEyLzIwMjUuLi5VU0QBAAAASZqEAAIAAAAHMTIxLjA0NQEIAAAABQAAAAExAQAAAAoxOTQ4MDY0OTY4AwAAAAMxNjACAAAAAjEwBAAAAAEwBwAAAAoxMi8zMS8yMDI1CAAAAAoxMi8zMS8yMDE2CQAAAAEwNGVFKwGx3gidPMA+AbHeCC9DSVEuTkFTREFRR1M6Uk9LVS5JUV9HUC5GWTIwMTcuMzEvMTIvMjAyNS4uLlVTRAEAAABJmoQAAgAAAAcxOTkuODMzAQgAAAAFAAAAATEBAAAACjIwMTg4NTAzNjIDAAAAAzE2MAIAAAACMTAEAAAAATAHAAAACjEyLzMxLzIwMjUIAAAACjEyLzMxLzIwMTcJAAAAATA0ZUUrAbHeCJ08wD4Bsd4IL0NJUS5OQVNEQVFHUzpST0tVLklRX0dQLkZZMjAxOC4zMS8xMi8yMDI1Li4uVVNEAQAAAEmahAACAAAABzMzMi4xNDgBCAAAAAUAAAABMQEAAAAKMjA4MjEw</t>
  </si>
  <si>
    <t>MDQ4OAMAAAADMTYwAgAAAAIxMAQAAAABMAcAAAAKMTIvMzEvMjAyNQgAAAAKMTIvMzEvMjAxOAkAAAABMDRlRSsBsd4InTzAPgGx3ggvQ0lRLk5BU0RBUUdTOlJPS1UuSVFfR1AuRlkyMDE5LjMxLzEyLzIwMjUuLi5VU0QBAAAASZqEAAIAAAAHNDk1LjIyNAEIAAAABQAAAAExAQAAAAstMjExMTYyOTk5NgMAAAADMTYwAgAAAAIxMAQAAAABMAcAAAAKMTIvMzEvMjAyNQgAAAAKMTIvMzEvMjAxOQkAAAABMDRlRSsBsd4InTzAPgGx3ggvQ0lRLk5BU0RBUUdTOlJPS1UuSVFfR1AuRlkyMDIwLjMxLzEyLzIwMjUuLi5VU0QBAAAASZqEAAIAAAAHODA4LjIxOQEIAAAABQAAAAExAQAAAAstMjA2MDYzMzc2OAMAAAADMTYwAgAAAAIxMAQAAAABMAcAAAAKMTIvMzEvMjAyNQgAAAAKMTIvMzEvMjAyMAkAAAABMDRlRSsBsd4InTzAPgGx3ggvQ0lRLk5BU0RBUUdTOlJPS1UuSVFfR1AuRlkyMDIxLjMxLzEyLzIwMjUuLi5VU0QBAAAASZqEAAIAAAAGMTQwOC42AQgAAAAFAAAAATEBAAAACy0yMDA5OTI3OTQ0AwAAAAMxNjACAAAAAjEwBAAAAAEwBwAAAAoxMi8zMS8yMDI1CAAAAAoxMi8zMS8yMDIxCQAAAAEwNGVFKwGx3gidPMA+AbHeCC9DSVEuTkFTREFRR1M6Uk9LVS5JUV9HUC5GWTIwMjIuMzEvMTIvMjAyNS4uLlVTRAEAAABJmoQAAgAAAAgxNDQxLjEyMgEIAAAABQAAAAExAQAAAAstMTk1OTQ4NjE5MwMAAAAD</t>
  </si>
  <si>
    <t>MTYwAgAAAAIxMAQAAAABMAcAAAAKMTIvMzEvMjAyNQgAAAAKMTIvMzEvMjAyMgkAAAABMDRlRSsBsd4InTzAPgGx3ggvQ0lRLk5BU0RBUUdTOlJPS1UuSVFfR1AuRlkyMDIzLjMxLzEyLzIwMjUuLi5VU0QBAAAASZqEAAIAAAAHMTU5Mi45NwEIAAAABQAAAAExAQAAAAstMTk1OTQ4NjE5NgMAAAADMTYwAgAAAAIxMAQAAAABMAcAAAAKMTIvMzEvMjAyNQgAAAAKMTIvMzEvMjAyMwkAAAABMDRlRSsBsd4InTzAPgGx3ggvQ0lRLk5BU0RBUUdTOlJPS1UuSVFfR1AuRlkyMDI0LjMxLzEyLzIwMjUuLi5VU0QBAAAASZqEAAIAAAAIMTgwNS42NDgBCAAAAAUAAAABMQEAAAALLTE5NTk0ODYxOTADAAAAAzE2MAIAAAACMTAEAAAAATAHAAAACjEyLzMxLzIwMjUIAAAACjEyLzMxLzIwMjQJAAAAATA0ZUUrAbHeCJ08wD4Bsd4IL0NJUS5OQVNEQVFHUzpST0tVLklRX0dQLkZZMjAyNS4zMS8xMi8yMDI1Li4uVVNEAQAAAEmahAADAAAAAAA0ZUUrAbHeCJ08wD4Bsd4ILUNJUS5OQVNEQVFHUzpJUS5JUV9HUC5GWTIwMTUuMzEvMTIvMjAyNS4uLlVTRAEAAADCKOUFAgAAAAstMTExLjM4Njk4NQEIAAAABQAAAAExAQAAAAoxODc2NTkwODY0AwAAAAMxNjACAAAAAjEwBAAAAAEwBwAAAAoxMi8zMS8yMDI1CAAAAAoxMi8zMS8yMDE1CQAAAAEwNGVFKwGx3gidPMA+AbHeCC1DSVEuTkFTREFRR1M6SVEuSVFfR1AuRlkyMDE2</t>
  </si>
  <si>
    <t>LjMxLzEyLzIwMjUuLi5VU0QBAAAAwijlBQIAAAAIMS44NzY3NDYBCAAAAAUAAAABMQEAAAAKMTk0OTgxNzMxMwMAAAADMTYwAgAAAAIxMAQAAAABMAcAAAAKMTIvMzEvMjAyNQgAAAAKMTIvMzEvMjAxNgkAAAABMDRlRSsBsd4InTzAPgGx3ggtQ0lRLk5BU0RBUUdTOklRLklRX0dQLkZZMjAxNy4zMS8xMi8yMDI1Li4uVVNEAQAAAMIo5QUCAAAACTU4LjcxMjA5NwEIAAAABQAAAAExAQAAAAoyMDIxNTgxNDYzAwAAAAMxNjACAAAAAjEwBAAAAAEwBwAAAAoxMi8zMS8yMDI1CAAAAAoxMi8zMS8yMDE3CQAAAAEwNGVFKwGx3gidPMA+AbHeCC1DSVEuTkFTREFRR1M6SVEuSVFfR1AuRlkyMDE4LjMxLzEyLzIwMjUuLi5VU0QBAAAAwijlBQIAAAALLTMxMS42ODc3NzQBCAAAAAUAAAABMQEAAAAKMjA4MzY4MTEzNAMAAAADMTYwAgAAAAIxMAQAAAABMAcAAAAKMTIvMzEvMjAyNQgAAAAKMTIvMzEvMjAxOAkAAAABMDRlRSsBsd4InTzAPgGx3ggtQ0lRLk5BU0RBUUdTOklRLklRX0dQLkZZMjAxOS4zMS8xMi8yMDI1Li4uVVNEAQAAAMIo5QUCAAAACy0xODAuMzI1NDM5AQgAAAAFAAAAATEBAAAACy0yMTA2NjA0MDk5AwAAAAMxNjACAAAAAjEwBAAAAAEwBwAAAAoxMi8zMS8yMDI1CAAAAAoxMi8zMS8yMDE5CQAAAAEwNGVFKwGx3gidPMA+AbHeCC1DSVEuTkFTREFRR1M6SVEuSVFfR1AuRlkyMDIwLjMxLzEyLzIw</t>
  </si>
  <si>
    <t>MjUuLi5VU0QBAAAAwijlBQIAAAAKNDA0LjkzNzE5OQEIAAAABQAAAAExAQAAAAstMjA1NjA5MDMzNAMAAAADMTYwAgAAAAIxMAQAAAABMAcAAAAKMTIvMzEvMjAyNQgAAAAKMTIvMzEvMjAyMAkAAAABMDRlRSsBsd4InTzAPgGx3ggtQ0lRLk5BU0RBUUdTOklRLklRX0dQLkZZMjAyMS4zMS8xMi8yMDI1Li4uVVNEAQAAAMIo5QUCAAAACjUwOC4wNjkxMzYBCAAAAAUAAAABMQEAAAALLTIwMDYxMDkxMzYDAAAAAzE2MAIAAAACMTAEAAAAATAHAAAACjEyLzMxLzIwMjUIAAAACjEyLzMxLzIwMjEJAAAAATA0ZUUrAbHeCJ08wD4Bsd4ILUNJUS5OQVNEQVFHUzpJUS5JUV9HUC5GWTIwMjIuMzEvMTIvMjAyNS4uLlVTRAEAAADCKOUFAgAAAAo5NzguMDQyMTAyAQgAAAAFAAAAATEBAAAACy0xOTU0MDgxMTY0AwAAAAMxNjACAAAAAjEwBAAAAAEwBwAAAAoxMi8zMS8yMDI1CAAAAAoxMi8zMS8yMDIyCQAAAAEwNGVFKwGx3gidPMA+AbHeCC1DSVEuTkFTREFRR1M6SVEuSVFfR1AuRlkyMDIzLjMxLzEyLzIwMjUuLi5VU0QBAAAAwijlBQIAAAALMTI3Mi41MTYwNDMBCAAAAAUAAAABMQEAAAALLTE5NTQwODExNjMDAAAAAzE2MAIAAAACMTAEAAAAATAHAAAACjEyLzMxLzIwMjUIAAAACjEyLzMxLzIwMjMJAAAAATA0ZUUrAbHeCJ08wD4Bsd4ILUNJUS5OQVNEQVFHUzpJUS5JUV9HUC5GWTIwMjQuMzEvMTIvMjAyNS4u</t>
  </si>
  <si>
    <t>LlVTRAEAAADCKOUFAgAAAAsxMDA5LjI5MzMzNgEIAAAABQAAAAExAQAAAAstMTk1NDA4MTE2MQMAAAADMTYwAgAAAAIxMAQAAAABMAcAAAAKMTIvMzEvMjAyNQgAAAAKMTIvMzEvMjAyNAkAAAABMDRlRSsBsd4InTzAPgGx3ggtQ0lRLk5BU0RBUUdTOklRLklRX0dQLkZZMjAyNS4zMS8xMi8yMDI1Li4uVVNEAQAAAMIo5QUDAAAAAAA0ZUUrAbHeCDXVvT4Bsd4IL0NJUS5OQVNEQVFHUzpCSUxJLklRX0dQLkZZMjAxNS4zMS8xMi8yMDI1Li4uVVNEAQAAACJcZRECAAAACi0yNi41ODAyMDgBCAAAAAUAAAABMQEAAAAKMTg4MDA0MzY0OQMAAAADMTYwAgAAAAIxMAQAAAABMAcAAAAKMTIvMzEvMjAyNQgAAAAKMTIvMzEvMjAxNQkAAAABMDRlRSsBsd4InTzAPgGx3ggvQ0lRLk5BU0RBUUdTOkJJTEkuSVFfR1AuRlkyMDE2LjMxLzEyLzIwMjUuLi5VU0QBAAAAIlxlEQIAAAAKLTM1LjkzMzY5MgEIAAAABQAAAAExAQAAAAoxOTUxNzIxODAzAwAAAAMxNjACAAAAAjEwBAAAAAEwBwAAAAoxMi8zMS8yMDI1CAAAAAoxMi8zMS8yMDE2CQAAAAEwNGVFKwGx3gg11b0+AbHeCC9DSVEuTkFTREFRR1M6QklMSS5JUV9HUC5GWTIwMTcuMzEvMTIvMjAyNS4uLlVTRAEAAAAiXGURAgAAAAk4NC40MDY1MzUBCAAAAAUAAAABMQEAAAAKMjAyNDMwNDI3MwMAAAADMTYwAgAAAAIxMAQAAAABMAcAAAAKMTIvMzEvMjAyNQgAAAAK</t>
  </si>
  <si>
    <t>MTIvMzEvMjAxNwkAAAABMDRlRSsBsd4INdW9PgGx3ggvQ0lRLk5BU0RBUUdTOkJJTEkuSVFfR1AuRlkyMDE4LjMxLzEyLzIwMjUuLi5VU0QBAAAAIlxlEQIAAAAKMTI0LjM3ODQ5OQEIAAAABQAAAAExAQAAAAoyMDgzMjk5NzAyAwAAAAMxNjACAAAAAjEwBAAAAAEwBwAAAAoxMi8zMS8yMDI1CAAAAAoxMi8zMS8yMDE4CQAAAAEwNGVFKwGx3gg11b0+AbHeCC9DSVEuTkFTREFRR1M6QklMSS5JUV9HUC5GWTIwMTkuMzEvMTIvMjAyNS4uLlVTRAEAAAAiXGURAgAAAAoxNzAuOTQxNTYyAQgAAAAFAAAAATEBAAAACy0yMTAxNTAyNDUxAwAAAAMxNjACAAAAAjEwBAAAAAEwBwAAAAoxMi8zMS8yMDI1CAAAAAoxMi8zMS8yMDE5CQAAAAEwNGVFKwGx3gg11b0+AbHeCC9DSVEuTkFTREFRR1M6QklMSS5JUV9HUC5GWTIwMjAuMzEvMTIvMjAyNS4uLlVTRAEAAAAiXGURAgAAAAo0MzUuMDM1OTk1AQgAAAAFAAAAATEBAAAACy0yMDQ5MDMxNjMzAwAAAAMxNjACAAAAAjEwBAAAAAEwBwAAAAoxMi8zMS8yMDI1CAAAAAoxMi8zMS8yMDIwCQAAAAEwNGVFKwGx3gg11b0+AbHeCC9DSVEuTkFTREFRR1M6QklMSS5JUV9HUC5GWTIwMjEuMzEvMTIvMjAyNS4uLlVTRAEAAAAiXGURAgAAAAo2MzYuNDU1NDY2AQgAAAAFAAAAATEBAAAACy0yMDAyMzk4NTU1AwAAAAMxNjACAAAAAjEwBAAAAAEwBwAAAAoxMi8zMS8yMDI1CAAA</t>
  </si>
  <si>
    <t>AAoxMi8zMS8yMDIxCQAAAAEwNGVFKwGx3gg11b0+AbHeCC9DSVEuTkFTREFRR1M6QklMSS5JUV9HUC5GWTIwMjIuMzEvMTIvMjAyNS4uLlVTRAEAAAAiXGURAgAAAAo1NTguMDk1MzEzAQgAAAAFAAAAATEBAAAACy0xOTU0NDg0NDQxAwAAAAMxNjACAAAAAjEwBAAAAAEwBwAAAAoxMi8zMS8yMDI1CAAAAAoxMi8zMS8yMDIyCQAAAAEwNGVFKwGx3gg11b0+AbHeCC9DSVEuTkFTREFRR1M6QklMSS5JUV9HUC5GWTIwMjMuMzEvMTIvMjAyNS4uLlVTRAEAAAAiXGURAgAAAAo3NjcuNDQzNDg1AQgAAAAFAAAAATEBAAAACy0xOTU0NDg0NDQ4AwAAAAMxNjACAAAAAjEwBAAAAAEwBwAAAAoxMi8zMS8yMDI1CAAAAAoxMi8zMS8yMDIzCQAAAAEwNGVFKwGx3gg11b0+AbHeCC9DSVEuTkFTREFRR1M6QklMSS5JUV9HUC5GWTIwMjQuMzEvMTIvMjAyNS4uLlVTRAEAAAAiXGURAgAAAAsxMjAyLjA2MDkzNwEIAAAABQAAAAExAQAAAAstMTk1NDQ4NDQ1MgMAAAADMTYwAgAAAAIxMAQAAAABMAcAAAAKMTIvMzEvMjAyNQgAAAAKMTIvMzEvMjAyNAkAAAABMDRlRSsBsd4INdW9PgGx3ggvQ0lRLk5BU0RBUUdTOkJJTEkuSVFfR1AuRlkyMDI1LjMxLzEyLzIwMjUuLi5VU0QBAAAAIlxlEQMAAAAAADRlRSsBsd4INdW9PgGx3ggqQ0lRLk5ZU0U6RElTLklRX0dQLkZZMjAxNS4zMS8xMi8yMDI1Li4uVVNEAQAAAEzsAgACAAAA</t>
  </si>
  <si>
    <t>BTI0MTAxAQgAAAAFAAAAATEBAAAACjE4NjcyOTgwMTgDAAAAAzE2MAIAAAACMTAEAAAAATAHAAAACjEyLzMxLzIwMjUIAAAACTEwLzMvMjAxNQkAAAABMDRlRSsBsd4INdW9PgGx3ggqQ0lRLk5ZU0U6RElTLklRX0dQLkZZMjAxNi4zMS8xMi8yMDI1Li4uVVNEAQAAAEzsAgACAAAABTI1NzY4AQgAAAAFAAAAATEBAAAACjE5MjUyOTU0MjkDAAAAAzE2MAIAAAACMTAEAAAAATAHAAAACjEyLzMxLzIwMjUIAAAACTEwLzEvMjAxNgkAAAABMDRlRSsBsd4INdW9PgGx3ggqQ0lRLk5ZU0U6RElTLklRX0dQLkZZMjAxNy4zMS8xMi8yMDI1Li4uVVNEAQAAAEzsAgACAAAABTI0ODMxAQgAAAAFAAAAATEBAAAACjE5OTM4NTk0MTMDAAAAAzE2MAIAAAACMTAEAAAAATAHAAAACjEyLzMxLzIwMjUIAAAACTkvMzAvMjAxNwkAAAABMDRlRSsBsd4INdW9PgGx3ggqQ0lRLk5ZU0U6RElTLklRX0dQLkZZMjAxOC4zMS8xMi8yMDI1Li4uVVNEAQAAAEzsAgACAAAABTI2NzA4AQgAAAAFAAAAATEBAAAACjIwNzI5MTE1MjkDAAAAAzE2MAIAAAACMTAEAAAAATAHAAAACjEyLzMxLzIwMjUIAAAACTkvMjkvMjAxOAkAAAABMDRlRSsBsd4INdW9PgGx3ggqQ0lRLk5ZU0U6RElTLklRX0dQLkZZMjAxOS4zMS8xMi8yMDI1Li4uVVNEAQAAAEzsAgACAAAABTI3NTQ2AQgAAAAFAAAAATEBAAAACy0yMTE5MjkyOTUwAwAAAAMxNjACAAAA</t>
  </si>
  <si>
    <t>AjEwBAAAAAEwBwAAAAoxMi8zMS8yMDI1CAAAAAk5LzI4LzIwMTkJAAAAATA0ZUUrAbHeCDXVvT4Bsd4IKkNJUS5OWVNFOkRJUy5JUV9HUC5GWTIwMjAuMzEvMTIvMjAyNS4uLlVTRAEAAABM7AIAAgAAAAUyMTUwOAEIAAAABQAAAAExAQAAAAstMjA2Njc5Mjg2MwMAAAADMTYwAgAAAAIxMAQAAAABMAcAAAAKMTIvMzEvMjAyNQgAAAAJMTAvMy8yMDIwCQAAAAEwNGVFKwGx3gg11b0+AbHeCCpDSVEuTllTRTpESVMuSVFfR1AuRlkyMDIxLjMxLzEyLzIwMjUuLi5VU0QBAAAATOwCAAIAAAAFMjIyODcBCAAAAAUAAAABMQEAAAALLTIwMTc1MDgyNTgDAAAAAzE2MAIAAAACMTAEAAAAATAHAAAACjEyLzMxLzIwMjUIAAAACTEwLzIvMjAyMQkAAAABMDRlRSsBsd4INdW9PgGx3ggqQ0lRLk5ZU0U6RElTLklRX0dQLkZZMjAyMi4zMS8xMi8yMDI1Li4uVVNEAQAAAEzsAgACAAAABTI4MzIxAQgAAAAFAAAAATEBAAAACy0xOTY5MDA2Mzg1AwAAAAMxNjACAAAAAjEwBAAAAAEwBwAAAAoxMi8zMS8yMDI1CAAAAAkxMC8xLzIwMjIJAAAAATA0ZUUrAbHeCDXVvT4Bsd4IKkNJUS5OWVNFOkRJUy5JUV9HUC5GWTIwMjMuMzEvMTIvMjAyNS4uLlVTRAEAAABM7AIAAgAAAAUyOTY5NwEIAAAABQAAAAExAQAAAAstMTkxNzAxNjExNgMAAAADMTYwAgAAAAIxMAQAAAABMAcAAAAKMTIvMzEvMjAyNQgAAAAJOS8zMC8yMDIzCQAA</t>
  </si>
  <si>
    <t>AAEwNGVFKwGx3gg11b0+AbHeCCpDSVEuTllTRTpESVMuSVFfR1AuRlkyMDI0LjMxLzEyLzIwMjUuLi5VU0QBAAAATOwCAAIAAAAFMzI2NjMBCAAAAAUAAAABMQEAAAALLTE5MTcwMTYxMjgDAAAAAzE2MAIAAAACMTAEAAAAATAHAAAACjEyLzMxLzIwMjUIAAAACTkvMjgvMjAyNAkAAAABMDRlRSsBsd4INdW9PgGx3ggqQ0lRLk5ZU0U6RElTLklRX0dQLkZZMjAyNS4zMS8xMi8yMDI1Li4uVVNEAQAAAEzsAgACAAAABTM1NjU5AQgAAAAFAAAAATEBAAAACy0xOTE3MDE2MTUxAwAAAAMxNjACAAAAAjEwBAAAAAEwBwAAAAoxMi8zMS8yMDI1CAAAAAk5LzI3LzIwMjUJAAAAATA0ZUUrAbHeCDXVvT4Bsd4ILkNJUS5OQVNEQVFHUzpXQkQuSVFfR1AuRlkyMDE1LjMxLzEyLzIwMjUuLi5VU0QBAAAAbdtZAQIAAAAENDExMQEIAAAABQAAAAExAQAAAAoxODc3MjM2NzI5AwAAAAMxNjACAAAAAjEwBAAAAAEwBwAAAAoxMi8zMS8yMDI1CAAAAAoxMi8zMS8yMDE1CQAAAAEwNGVFKwGx3gg11b0+AbHeCC5DSVEuTkFTREFRR1M6V0JELklRX0dQLkZZMjAxNi4zMS8xMi8yMDI1Li4uVVNEAQAAAG3bWQECAAAABDQxMzABCAAAAAUAAAABMQEAAAAKMTk0ODA5ODkxNAMAAAADMTYwAgAAAAIxMAQAAAABMAcAAAAKMTIvMzEvMjAyNQgAAAAKMTIvMzEvMjAxNgkAAAABMDRlRSsBsd4INdW9PgGx3gguQ0lRLk5BU0RBUUdTOldC</t>
  </si>
  <si>
    <t>RC5JUV9HUC5GWTIwMTcuMzEvMTIvMjAyNS4uLlVTRAEAAABt21kBAgAAAAQ0MjQ5AQgAAAAFAAAAATEBAAAACjIwMTgxMDQ2MDEDAAAAAzE2MAIAAAACMTAEAAAAATAHAAAACjEyLzMxLzIwMjUIAAAACjEyLzMxLzIwMTcJAAAAATA0ZUUrAbHeCDXVvT4Bsd4ILkNJUS5OQVNEQVFHUzpXQkQuSVFfR1AuRlkyMDE4LjMxLzEyLzIwMjUuLi5VU0QBAAAAbdtZAQIAAAAENjY0MwEIAAAABQAAAAExAQAAAAoyMDgxMzAyMzYzAwAAAAMxNjACAAAAAjEwBAAAAAEwBwAAAAoxMi8zMS8yMDI1CAAAAAoxMi8zMS8yMDE4CQAAAAEwNGVFKwGx3gg11b0+AbHeCC5DSVEuTkFTREFRR1M6V0JELklRX0dQLkZZMjAxOS4zMS8xMi8yMDI1Li4uVVNEAQAAAG3bWQECAAAABDczOTIBCAAAAAUAAAABMQEAAAALLTIxMTA2Nzc4NjADAAAAAzE2MAIAAAACMTAEAAAAATAHAAAACjEyLzMxLzIwMjUIAAAACjEyLzMxLzIwMTkJAAAAATA0ZUUrAbHeCDXVvT4Bsd4ILkNJUS5OQVNEQVFHUzpXQkQuSVFfR1AuRlkyMDIwLjMxLzEyLzIwMjUuLi5VU0QBAAAAbdtZAQIAAAAENjg1OQEIAAAABQAAAAExAQAAAAstMjA1OTY0OTg4NgMAAAADMTYwAgAAAAIxMAQAAAABMAcAAAAKMTIvMzEvMjAyNQgAAAAKMTIvMzEvMjAyMAkAAAABMDRlRSsBsd4INdW9PgGx3gguQ0lRLk5BU0RBUUdTOldCRC5JUV9HUC5GWTIwMjEuMzEvMTIvMjAyNS4u</t>
  </si>
  <si>
    <t>LlVTRAEAAABt21kBAgAAAAQ3NTc2AQgAAAAFAAAAATEBAAAACy0yMDA4ODY3Nzk0AwAAAAMxNjACAAAAAjEwBAAAAAEwBwAAAAoxMi8zMS8yMDI1CAAAAAoxMi8zMS8yMDIxCQAAAAEwNGVFKwGx3gg11b0+AbHeCC5DSVEuTkFTREFRR1M6V0JELklRX0dQLkZZMjAyMi4zMS8xMi8yMDI1Li4uVVNEAQAAAG3bWQECAAAABTEzNDI2AQgAAAAFAAAAATEBAAAACy0xOTU3NDYxOTExAwAAAAMxNjACAAAAAjEwBAAAAAEwBwAAAAoxMi8zMS8yMDI1CAAAAAoxMi8zMS8yMDIyCQAAAAEwNGVFKwGx3gg11b0+AbHeCC5DSVEuTkFTREFRR1M6V0JELklRX0dQLkZZMjAyMy4zMS8xMi8yMDI1Li4uVVNEAQAAAG3bWQECAAAABTE3MDA2AQgAAAAFAAAAATEBAAAACy0xOTU3NDYxOTU2AwAAAAMxNjACAAAAAjEwBAAAAAEwBwAAAAoxMi8zMS8yMDI1CAAAAAoxMi8zMS8yMDIzCQAAAAEwNGVFKwGx3gg11b0+AbHeCC5DSVEuTkFTREFRR1M6V0JELklRX0dQLkZZMjAyNC4zMS8xMi8yMDI1Li4uVVNEAQAAAG3bWQECAAAABTE2NzQ0AQgAAAAFAAAAATEBAAAACy0xOTU3NDYxOTUzAwAAAAMxNjACAAAAAjEwBAAAAAEwBwAAAAoxMi8zMS8yMDI1CAAAAAoxMi8zMS8yMDI0CQAAAAEwNGVFKwGx3gg11b0+AbHeCC5DSVEuTkFTREFRR1M6V0JELklRX0dQLkZZMjAyNS4zMS8xMi8yMDI1Li4uVVNEAQAAAG3bWQEDAAAAAAA0ZUUr</t>
  </si>
  <si>
    <t>AbHeCDXVvT4Bsd4IL0NJUS5OQVNEQVFHUzpQU0tZLklRX0dQLkZZMjAxNS4zMS8xMi8yMDI1Li4uVVNEAQAAAB+ipwECAAAABDQ3NjABCAAAAAUAAAABMQEAAAAKMTg3NTE5NjI2OAMAAAADMTYwAgAAAAIxMAQAAAABMAcAAAAKMTIvMzEvMjAyNQgAAAAKMTIvMzEvMjAxNQkAAAABMDRlRSsBsd4InTzAPgGx3ggvQ0lRLk5BU0RBUUdTOlBTS1kuSVFfR1AuRlkyMDE2LjMxLzEyLzIwMjUuLi5VU0QBAAAAH6KnAQIAAAAENTIxMAEIAAAABQAAAAExAQAAAAoxOTQ1Mjc2ODQ5AwAAAAMxNjACAAAAAjEwBAAAAAEwBwAAAAoxMi8zMS8yMDI1CAAAAAoxMi8zMS8yMDE2CQAAAAEwNGVFKwGx3gidPMA+AbHeCC9DSVEuTkFTREFRR1M6UFNLWS5JUV9HUC5GWTIwMTcuMzEvMTIvMjAyNS4uLlVTRAEAAAAfoqcBAgAAAAUxMTA1MgEIAAAABQAAAAExAQAAAAoyMDE2MjMxNzUyAwAAAAMxNjACAAAAAjEwBAAAAAEwBwAAAAoxMi8zMS8yMDI1CAAAAAoxMi8zMS8yMDE3CQAAAAEwNGVFKwGx3gidPMA+AbHeCC9DSVEuTkFTREFRR1M6UFNLWS5JUV9HUC5GWTIwMTguMzEvMTIvMjAyNS4uLlVTRAEAAAAfoqcBAgAAAAUxMTAyNgEIAAAABQAAAAExAQAAAAoyMDgxNTg0OTM3AwAAAAMxNjACAAAAAjEwBAAAAAEwBwAAAAoxMi8zMS8yMDI1CAAAAAoxMi8zMS8yMDE4CQAAAAEwNGVFKwGx3gidPMA+AbHeCC9DSVEuTkFTREFR</t>
  </si>
  <si>
    <t>R1M6UFNLWS5JUV9HUC5GWTIwMTkuMzEvMTIvMjAyNS4uLlVTRAEAAAAfoqcBAgAAAAUxMDg3NAEIAAAABQAAAAExAQAAAAstMjExMjE4NjQxNAMAAAADMTYwAgAAAAIxMAQAAAABMAcAAAAKMTIvMzEvMjAyNQgAAAAKMTIvMzEvMjAxOQkAAAABMDRlRSsBsd4InTzAPgGx3ggvQ0lRLk5BU0RBUUdTOlBTS1kuSVFfR1AuRlkyMDIwLjMxLzEyLzIwMjUuLi5VU0QBAAAAH6KnAQIAAAAFMTA0NTIBCAAAAAUAAAABMQEAAAALLTIwNjA3MTU4OTkDAAAAAzE2MAIAAAACMTAEAAAAATAHAAAACjEyLzMxLzIwMjUIAAAACjEyLzMxLzIwMjAJAAAAATA0ZUUrAbHeCJ08wD4Bsd4IL0NJUS5OQVNEQVFHUzpQU0tZLklRX0dQLkZZMjAyMS4zMS8xMi8yMDI1Li4uVVNEAQAAAB+ipwECAAAABTEwODQyAQgAAAAFAAAAATEBAAAACy0yMDA4MTkwNjY3AwAAAAMxNjACAAAAAjEwBAAAAAEwBwAAAAoxMi8zMS8yMDI1CAAAAAoxMi8zMS8yMDIxCQAAAAEwNGVFKwGx3gidPMA+AbHeCC9DSVEuTkFTREFRR1M6UFNLWS5JUV9HUC5GWTIwMjIuMzEvMTIvMjAyNS4uLlVTRAEAAAAfoqcBAgAAAAUxMDMwOQEIAAAABQAAAAExAQAAAAstMTk1ODE2ODc4MAMAAAADMTYwAgAAAAIxMAQAAAABMAcAAAAKMTIvMzEvMjAyNQgAAAAKMTIvMzEvMjAyMgkAAAABMDRlRSsBsd4InTzAPgGx3ggvQ0lRLk5BU0RBUUdTOlBTS1kuSVFfR1AuRlky</t>
  </si>
  <si>
    <t>MDIzLjMxLzEyLzIwMjUuLi5VU0QBAAAAH6KnAQIAAAAEOTYzNQEIAAAABQAAAAExAQAAAAstMTk1ODE2ODc3OQMAAAADMTYwAgAAAAIxMAQAAAABMAcAAAAKMTIvMzEvMjAyNQgAAAAKMTIvMzEvMjAyMwkAAAABMDRlRSsBsd4InTzAPgGx3ggvQ0lRLk5BU0RBUUdTOlBTS1kuSVFfR1AuRlkyMDI0LjMxLzEyLzIwMjUuLi5VU0QBAAAAH6KnAQIAAAAEOTc3NgEIAAAABQAAAAExAQAAAAstMTk1ODE2ODc3OAMAAAADMTYwAgAAAAIxMAQAAAABMAcAAAAKMTIvMzEvMjAyNQgAAAAKMTIvMzEvMjAyNAkAAAABMDRlRSsBsd4InTzAPgGx3ggvQ0lRLk5BU0RBUUdTOlBTS1kuSVFfR1AuRlkyMDI1LjMxLzEyLzIwMjUuLi5VU0QBAAAAH6KnAQMAAAAAADRlRSsBsd4InTzAPgGx3ggwQ0lRLk5BU0RBUUdTOkNNQ1NBLklRX0dQLkZZMjAxNS4zMS8xMi8yMDI1Li4uVVNEAQAAAB2lAgACAAAABTUxOTYwAQgAAAAFAAAAATEBAAAACjE4NzI3OTI0MTIDAAAAAzE2MAIAAAACMTAEAAAAATAHAAAACjEyLzMxLzIwMjUIAAAACjEyLzMxLzIwMTUJAAAAATA0ZUUrAbHeCJ08wD4Bsd4IMENJUS5OQVNEQVFHUzpDTUNTQS5JUV9HUC5GWTIwMTYuMzEvMTIvMjAyNS4uLlVTRAEAAAAdpQIAAgAAAAU1NjM4OAEIAAAABQAAAAExAQAAAAoxOTQzNDI5ODc3AwAAAAMxNjACAAAAAjEwBAAAAAEwBwAAAAoxMi8zMS8yMDI1CAAAAAox</t>
  </si>
  <si>
    <t>Mi8zMS8yMDE2CQAAAAEwNGVFKwGx3gidPMA+AbHeCDBDSVEuTkFTREFRR1M6Q01DU0EuSVFfR1AuRlkyMDE3LjMxLzEyLzIwMjUuLi5VU0QBAAAAHaUCAAIAAAAFNTk2NzQBCAAAAAUAAAABMQEAAAAKMjAwMzg3NzgwNQMAAAADMTYwAgAAAAIxMAQAAAABMAcAAAAKMTIvMzEvMjAyNQgAAAAKMTIvMzEvMjAxNwkAAAABMDRlRSsBsd4InTzAPgGx3ggwQ0lRLk5BU0RBUUdTOkNNQ1NBLklRX0dQLkZZMjAxOC4zMS8xMi8yMDI1Li4uVVNEAQAAAB2lAgACAAAABTY0ODE1AQgAAAAFAAAAATEBAAAACjIwNzg4MzAyNzMDAAAAAzE2MAIAAAACMTAEAAAAATAHAAAACjEyLzMxLzIwMjUIAAAACjEyLzMxLzIwMTgJAAAAATA0ZUUrAbHeCJ08wD4Bsd4IMENJUS5OQVNEQVFHUzpDTUNTQS5JUV9HUC5GWTIwMTkuMzEvMTIvMjAyNS4uLlVTRAEAAAAdpQIAAgAAAAU3NDUwMgEIAAAABQAAAAExAQAAAAstMjExNDAwODk4OAMAAAADMTYwAgAAAAIxMAQAAAABMAcAAAAKMTIvMzEvMjAyNQgAAAAKMTIvMzEvMjAxOQkAAAABMDRlRSsBsd4InTzAPgGx3ggwQ0lRLk5BU0RBUUdTOkNNQ1NBLklRX0dQLkZZMjAyMC4zMS8xMi8yMDI1Li4uVVNEAQAAAB2lAgACAAAABTcwNDQzAQgAAAAFAAAAATEBAAAACy0yMDYyMzgyNDkzAwAAAAMxNjACAAAAAjEwBAAAAAEwBwAAAAoxMi8zMS8yMDI1CAAAAAoxMi8zMS8yMDIwCQAAAAEw</t>
  </si>
  <si>
    <t>NGVFKwGx3gidPMA+AbHeCDBDSVEuTkFTREFRR1M6Q01DU0EuSVFfR1AuRlkyMDIxLjMxLzEyLzIwMjUuLi5VU0QBAAAAHaUCAAIAAAAFNzc5MzUBCAAAAAUAAAABMQEAAAALLTIwMTIwMjcxMzYDAAAAAzE2MAIAAAACMTAEAAAAATAHAAAACjEyLzMxLzIwMjUIAAAACjEyLzMxLzIwMjEJAAAAATA0ZUUrAbHeCJ08wD4Bsd4IMENJUS5OQVNEQVFHUzpDTUNTQS5JUV9HUC5GWTIwMjIuMzEvMTIvMjAyNS4uLlVTRAEAAAAdpQIAAgAAAAU4MzIxNAEIAAAABQAAAAExAQAAAAstMTk2MTM1Njg5MQMAAAADMTYwAgAAAAIxMAQAAAABMAcAAAAKMTIvMzEvMjAyNQgAAAAKMTIvMzEvMjAyMgkAAAABMDRlRSsBsd4InTzAPgGx3ggwQ0lRLk5BU0RBUUdTOkNNQ1NBLklRX0dQLkZZMjAyMy4zMS8xMi8yMDI1Li4uVVNEAQAAAB2lAgACAAAABTg0ODEwAQgAAAAFAAAAATEBAAAACy0xOTYxMzU2ODkyAwAAAAMxNjACAAAAAjEwBAAAAAEwBwAAAAoxMi8zMS8yMDI1CAAAAAoxMi8zMS8yMDIzCQAAAAEwNGVFKwGx3gidPMA+AbHeCDBDSVEuTkFTREFRR1M6Q01DU0EuSVFfR1AuRlkyMDI0LjMxLzEyLzIwMjUuLi5VU0QBAAAAHaUCAAIAAAAFODY3MDUBCAAAAAUAAAABMQEAAAALLTE5NjEzNTY5MDkDAAAAAzE2MAIAAAACMTAEAAAAATAHAAAACjEyLzMxLzIwMjUIAAAACjEyLzMxLzIwMjQJAAAAATA0ZUUrAbHeCJ08wD4B</t>
  </si>
  <si>
    <t>sd4IMENJUS5OQVNEQVFHUzpDTUNTQS5JUV9HUC5GWTIwMjUuMzEvMTIvMjAyNS4uLlVTRAEAAAAdpQIAAwAAAAAANGVFKwGx3gidPMA+AbHeCDNDSVEuTkFTREFRR1M6TkZMWC5JUV9FQklUREEuRlkyMDE1LjMxLzEyLzIwMjUuLi5VU0QBAAAADH0AAAIAAAAHMzY4LjEwOQEIAAAABQAAAAExAQAAAAoxODczMDg1ODg1AwAAAAMxNjACAAAABDQwNTEEAAAAATAHAAAACjEyLzMxLzIwMjUIAAAACjEyLzMxLzIwMTUJAAAAATA0ZUUrAbHeCDXVvT4Bsd4IM0NJUS5OQVNEQVFHUzpORkxYLklRX0VCSVREQS5GWTIwMTYuMzEvMTIvMjAyNS4uLlVTRAEAAAAMfQAAAgAAAAc0MzcuMzIxAQsAAAAFAAAAAjE2BwAAAAUzMjAxMgEAAAAJNzE3MDMyNTU5AgAAAAQ0MDUxCQAAAAEwCgAAAAE0BgAAAAExBAAAAAEwAwAAAAMxNjALAAAACjEyLzMxLzIwMjUIAAAAATA0ZUUrAbHeCDXVvT4Bsd4IM0NJUS5OQVNEQVFHUzpORkxYLklRX0VCSVREQS5GWTIwMTcuMzEvMTIvMjAyNS4uLlVTRAEAAAAMfQAAAgAAAAY5MTAuNTkBCAAAAAUAAAABMQEAAAAKMjAwMzE1MDAwNgMAAAADMTYwAgAAAAQ0MDUxBAAAAAEwBwAAAAoxMi8zMS8yMDI1CAAAAAoxMi8zMS8yMDE3CQAAAAEwNGVFKwGx3gg11b0+AbHeCDNDSVEuTkFTREFRR1M6TkZMWC5JUV9FQklUREEuRlkyMDE4LjMxLzEyLzIwMjUuLi5VU0QBAAAADH0AAAIAAAAIMTY4</t>
  </si>
  <si>
    <t>OC4zODMBCAAAAAUAAAABMQEAAAAKMjA3NzY5MDE2MAMAAAADMTYwAgAAAAQ0MDUxBAAAAAEwBwAAAAoxMi8zMS8yMDI1CAAAAAoxMi8zMS8yMDE4CQAAAAEwNGVFKwGx3gg11b0+AbHeCDNDSVEuTkFTREFRR1M6TkZMWC5JUV9FQklUREEuRlkyMDE5LjMxLzEyLzIwMjUuLi5VU0QBAAAADH0AAAIAAAAIMjcwNy44MzMBCAAAAAUAAAABMQEAAAALLTIxMTQ1MjUwOTkDAAAAAzE2MAIAAAAENDA1MQQAAAABMAcAAAAKMTIvMzEvMjAyNQgAAAAKMTIvMzEvMjAxOQkAAAABMDRlRSsBsd4INdW9PgGx3ggzQ0lRLk5BU0RBUUdTOk5GTFguSVFfRUJJVERBLkZZMjAyMC4zMS8xMi8yMDI1Li4uVVNEAQAAAAx9AAACAAAACDQ3MDAuOTk5AQgAAAAFAAAAATEBAAAACy0yMTE0NTI1MDg3AwAAAAMxNjACAAAABDQwNTEEAAAAATAHAAAACjEyLzMxLzIwMjUIAAAACjEyLzMxLzIwMjAJAAAAATA0ZUUrAbHeCDXVvT4Bsd4IM0NJUS5OQVNEQVFHUzpORkxYLklRX0VCSVREQS5GWTIwMjEuMzEvMTIvMjAyNS4uLlVTRAEAAAAMfQAAAgAAAAg2NDAyLjkyMQEIAAAABQAAAAExAQAAAAstMjAxMjQxNTc3NgMAAAADMTYwAgAAAAQ0MDUxBAAAAAEwBwAAAAoxMi8zMS8yMDI1CAAAAAoxMi8zMS8yMDIxCQAAAAEwNGVFKwGx3gg11b0+AbHeCDNDSVEuTkFTREFRR1M6TkZMWC5JUV9FQklUREEuRlkyMDIyLjMxLzEyLzIwMjUuLi5V</t>
  </si>
  <si>
    <t>U0QBAAAADH0AAAIAAAAINTk2OS41MTMBCAAAAAUAAAABMQEAAAALLTE5NjE4MjQ5NzADAAAAAzE2MAIAAAAENDA1MQQAAAABMAcAAAAKMTIvMzEvMjAyNQgAAAAKMTIvMzEvMjAyMgkAAAABMDRlRSsBsd4INdW9PgGx3ggzQ0lRLk5BU0RBUUdTOk5GTFguSVFfRUJJVERBLkZZMjAyMy4zMS8xMi8yMDI1Li4uVVNEAQAAAAx9AAACAAAABzczMTAuOTUBCAAAAAUAAAABMQEAAAALLTE5NjE4MjQ5NjkDAAAAAzE2MAIAAAAENDA1MQQAAAABMAcAAAAKMTIvMzEvMjAyNQgAAAAKMTIvMzEvMjAyMwkAAAABMDRlRSsBsd4INdW9PgGx3ggzQ0lRLk5BU0RBUUdTOk5GTFguSVFfRUJJVERBLkZZMjAyNC4zMS8xMi8yMDI1Li4uVVNEAQAAAAx9AAACAAAACTEwNzQ2LjUyOAEIAAAABQAAAAExAQAAAAstMTk2MTgyNDk2NwMAAAADMTYwAgAAAAQ0MDUxBAAAAAEwBwAAAAoxMi8zMS8yMDI1CAAAAAoxMi8zMS8yMDI0CQAAAAEwNGVFKwGx3gg11b0+AbHeCDNDSVEuTkFTREFRR1M6TkZMWC5JUV9FQklUREEuRlkyMDI1LjMxLzEyLzIwMjUuLi5VU0QBAAAADH0AAAMAAAAAADRlRSsBsd4INdW9PgGx3ggvQ0lRLk5ZU0U6U1BPVC5JUV9FQklUREEuRlkyMDE1LjMxLzEyLzIwMjUuLi5VU0QBAAAAxU5yDQIAAAALLTIyMi42OTI5NTUBCAAAAAUAAAABMQEAAAAKMTg4MTM5MjM1MAMAAAADMTYwAgAAAAQ0MDUxBAAAAAEwBwAA</t>
  </si>
  <si>
    <t>AAoxMi8zMS8yMDI1CAAAAAgxLzEvMjAxNgkAAAABMDRlRSsBsd4INdW9PgGx3ggvQ0lRLk5ZU0U6U1BPVC5JUV9FQklUREEuRlkyMDE2LjMxLzEyLzIwMjUuLi5VU0QBAAAAxU5yDQIAAAALLTMyOC4zMDE0ODkBCAAAAAUAAAABMQEAAAAKMTk0NDUzOTczMAMAAAADMTYwAgAAAAQ0MDUxBAAAAAEwBwAAAAoxMi8zMS8yMDI1CAAAAAoxMi8zMS8yMDE2CQAAAAEwNGVFKwGx3gg11b0+AbHeCC9DSVEuTllTRTpTUE9ULklRX0VCSVREQS5GWTIwMTcuMzEvMTIvMjAyNS4uLlVTRAEAAADFTnINAgAAAAstMzg5LjA0ODk5MQEIAAAABQAAAAExAQAAAAoyMDEzMTg1OTA2AwAAAAMxNjACAAAABDQwNTEEAAAAATAHAAAACjEyLzMxLzIwMjUIAAAACjEyLzMxLzIwMTcJAAAAATA0ZUUrAbHeCDXVvT4Bsd4IL0NJUS5OWVNFOlNQT1QuSVFfRUJJVERBLkZZMjAxOC4zMS8xMi8yMDI1Li4uVVNEAQAAAMVOcg0CAAAACi0xMi41OTQ0NTgBCAAAAAUAAAABMQEAAAAKMjA3ODk1NDM0OQMAAAADMTYwAgAAAAQ0MDUxBAAAAAEwBwAAAAoxMi8zMS8yMDI1CAAAAAoxMi8zMS8yMDE4CQAAAAEwNGVFKwGx3gg11b0+AbHeCC9DSVEuTllTRTpTUE9ULklRX0VCSVREQS5GWTIwMTkuMzEvMTIvMjAyNS4uLlVTRAEAAADFTnINAgAAAAkzMS40MjE4MzgBCAAAAAUAAAABMQEAAAALLTIxMTM3NzAwNTIDAAAAAzE2MAIAAAAENDA1MQQA</t>
  </si>
  <si>
    <t>AAABMAcAAAAKMTIvMzEvMjAyNQgAAAAKMTIvMzEvMjAxOQkAAAABMDRlRSsBsd4INdW9PgGx3ggvQ0lRLk5ZU0U6U1BPVC5JUV9FQklUREEuRlkyMDIwLjMxLzEyLzIwMjUuLi5VU0QBAAAAxU5yDQIAAAALLTIyMi42Mjk5NjkBCAAAAAUAAAABMQEAAAALLTIwNjI0NDMzNzkDAAAAAzE2MAIAAAAENDA1MQQAAAABMAcAAAAKMTIvMzEvMjAyNQgAAAAKMTIvMzEvMjAyMAkAAAABMDRlRSsBsd4INdW9PgGx3ggvQ0lRLk5ZU0U6U1BPVC5JUV9FQklUREEuRlkyMDIxLjMxLzEyLzIwMjUuLi5VU0QBAAAAxU5yDQIAAAAJMjUxLjMzNjI5AQgAAAAFAAAAATEBAAAACy0yMDEwOTk5MzQ1AwAAAAMxNjACAAAABDQwNTEEAAAAATAHAAAACjEyLzMxLzIwMjUIAAAACjEyLzMxLzIwMjEJAAAAATA0ZUUrAbHeCDXVvT4Bsd4IL0NJUS5OWVNFOlNQT1QuSVFfRUJJVERBLkZZMjAyMi4zMS8xMi8yMDI1Li4uVVNEAQAAAMVOcg0CAAAACi01MjEuNTM0NjgBCAAAAAUAAAABMQEAAAALLTE5NjA5MDE5MTIDAAAAAzE2MAIAAAAENDA1MQQAAAABMAcAAAAKMTIvMzEvMjAyNQgAAAAKMTIvMzEvMjAyMgkAAAABMDRlRSsBsd4INdW9PgGx3ggvQ0lRLk5ZU0U6U1BPVC5JUV9FQklUREEuRlkyMDIzLjMxLzEyLzIwMjUuLi5VU0QBAAAAxU5yDQIAAAAHOC44NDI3MQEIAAAABQAAAAExAQAAAAstMTk2MDkwMTg5MwMAAAADMTYwAgAA</t>
  </si>
  <si>
    <t>AAQ0MDUxBAAAAAEwBwAAAAoxMi8zMS8yMDI1CAAAAAoxMi8zMS8yMDIzCQAAAAEwNGVFKwGx3gg11b0+AbHeCC9DSVEuTllTRTpTUE9ULklRX0VCSVREQS5GWTIwMjQuMzEvMTIvMjAyNS4uLlVTRAEAAADFTnINAgAAAAsxNTI5LjE0MzgwNAEIAAAABQAAAAExAQAAAAstMTk2MDkwMTkxNAMAAAADMTYwAgAAAAQ0MDUxBAAAAAEwBwAAAAoxMi8zMS8yMDI1CAAAAAoxMi8zMS8yMDI0CQAAAAEwNGVFKwGx3gg11b0+AbHeCC9DSVEuTllTRTpTUE9ULklRX0VCSVREQS5GWTIwMjUuMzEvMTIvMjAyNS4uLlVTRAEAAADFTnINAwAAAAAANGVFKwGx3gg11b0+AbHeCDNDSVEuTkFTREFRR1M6Uk9LVS5JUV9FQklUREEuRlkyMDE1LjMxLzEyLzIwMjUuLi5VU0QBAAAASZqEAAIAAAAHLTM1LjI5NwEIAAAABQAAAAExAQAAAAoxODc2OTk1NDM4AwAAAAMxNjACAAAABDQwNTEEAAAAATAHAAAACjEyLzMxLzIwMjUIAAAACjEyLzI2LzIwMTUJAAAAATA0ZUUrAbHeCDXVvT4Bsd4IM0NJUS5OQVNEQVFHUzpST0tVLklRX0VCSVREQS5GWTIwMTYuMzEvMTIvMjAyNS4uLlVTRAEAAABJmoQAAgAAAActMzguNzU5AQgAAAAFAAAAATEBAAAACjE5NDgwNjQ5NjgDAAAAAzE2MAIAAAAENDA1MQQAAAABMAcAAAAKMTIvMzEvMjAyNQgAAAAKMTIvMzEvMjAxNgkAAAABMDRlRSsBsd4INdW9PgGx3ggzQ0lRLk5BU0RBUUdTOlJPS1Uu</t>
  </si>
  <si>
    <t>SVFfRUJJVERBLkZZMjAxNy4zMS8xMi8yMDI1Li4uVVNEAQAAAEmahAACAAAABi0xNS41OAEIAAAABQAAAAExAQAAAAoyMDE4ODUwMzYyAwAAAAMxNjACAAAABDQwNTEEAAAAATAHAAAACjEyLzMxLzIwMjUIAAAACjEyLzMxLzIwMTcJAAAAATA0ZUUrAbHeCDXVvT4Bsd4IM0NJUS5OQVNEQVFHUzpST0tVLklRX0VCSVREQS5GWTIwMTguMzEvMTIvMjAyNS4uLlVTRAEAAABJmoQAAgAAAAYtNy41MDcBCAAAAAUAAAABMQEAAAAKMjA4MjEwMDQ4OAMAAAADMTYwAgAAAAQ0MDUxBAAAAAEwBwAAAAoxMi8zMS8yMDI1CAAAAAoxMi8zMS8yMDE4CQAAAAEwNGVFKwGx3gg11b0+AbHeCDNDSVEuTkFTREFRR1M6Uk9LVS5JUV9FQklUREEuRlkyMDE5LjMxLzEyLzIwMjUuLi5VU0QBAAAASZqEAAIAAAAHLTQ4LjA3NgEIAAAABQAAAAExAQAAAAstMjExMTYyOTk5NgMAAAADMTYwAgAAAAQ0MDUxBAAAAAEwBwAAAAoxMi8zMS8yMDI1CAAAAAoxMi8zMS8yMDE5CQAAAAEwNGVFKwGx3gg11b0+AbHeCDNDSVEuTkFTREFRR1M6Uk9LVS5JUV9FQklUREEuRlkyMDIwLjMxLzEyLzIwMjUuLi5VU0QBAAAASZqEAAIAAAAGMzcuODQ1AQgAAAAFAAAAATEBAAAACy0yMDYwNjMzNzY4AwAAAAMxNjACAAAABDQwNTEEAAAAATAHAAAACjEyLzMxLzIwMjUIAAAACjEyLzMxLzIwMjAJAAAAATA0ZUUrAbHeCDXVvT4Bsd4IM0NJUS5OQVNE</t>
  </si>
  <si>
    <t>QVFHUzpST0tVLklRX0VCSVREQS5GWTIwMjEuMzEvMTIvMjAyNS4uLlVTRAEAAABJmoQAAgAAAAczNzIuMjkxAQgAAAAFAAAAATEBAAAACy0yMDA5OTI3OTQ0AwAAAAMxNjACAAAABDQwNTEEAAAAATAHAAAACjEyLzMxLzIwMjUIAAAACjEyLzMxLzIwMjEJAAAAATA0ZUUrAbHeCDXVvT4Bsd4IM0NJUS5OQVNEQVFHUzpST0tVLklRX0VCSVREQS5GWTIwMjIuMzEvMTIvMjAyNS4uLlVTRAEAAABJmoQAAgAAAAgtMjA5Ljc0MgEIAAAABQAAAAExAQAAAAstMTk1OTQ4NjE5MwMAAAADMTYwAgAAAAQ0MDUxBAAAAAEwBwAAAAoxMi8zMS8yMDI1CAAAAAoxMi8zMS8yMDIyCQAAAAEwNGVFKwGx3gg11b0+AbHeCDNDSVEuTkFTREFRR1M6Uk9LVS5JUV9FQklUREEuRlkyMDIzLjMxLzEyLzIwMjUuLi5VU0QBAAAASZqEAAIAAAAILTE1Ny45ODQBCAAAAAUAAAABMQEAAAALLTE5NTk0ODYxOTYDAAAAAzE2MAIAAAAENDA1MQQAAAABMAcAAAAKMTIvMzEvMjAyNQgAAAAKMTIvMzEvMjAyMwkAAAABMDRlRSsBsd4INdW9PgGx3ggzQ0lRLk5BU0RBUUdTOlJPS1UuSVFfRUJJVERBLkZZMjAyNC4zMS8xMi8yMDI1Li4uVVNEAQAAAEmahAACAAAABjgxLjg4NgEIAAAABQAAAAExAQAAAAstMTk1OTQ4NjE5MAMAAAADMTYwAgAAAAQ0MDUxBAAAAAEwBwAAAAoxMi8zMS8yMDI1CAAAAAoxMi8zMS8yMDI0CQAAAAEwNGVFKwGx3gg1</t>
  </si>
  <si>
    <t>1b0+AbHeCDNDSVEuTkFTREFRR1M6Uk9LVS5JUV9FQklUREEuRlkyMDI1LjMxLzEyLzIwMjUuLi5VU0QBAAAASZqEAAMAAAAAADRlRSsBsd4INdW9PgGx3ggxQ0lRLk5BU0RBUUdTOklRLklRX0VCSVREQS5GWTIwMTUuMzEvMTIvMjAyNS4uLlVTRAEAAADCKOUFAgAAAAk3NS44ODk3MTkBCAAAAAUAAAABMQEAAAAKMTg3NjU5MDg2NAMAAAADMTYwAgAAAAQ0MDUxBAAAAAEwBwAAAAoxMi8zMS8yMDI1CAAAAAoxMi8zMS8yMDE1CQAAAAEwNGVFKwGx3gg11b0+AbHeCDFDSVEuTkFTREFRR1M6SVEuSVFfRUJJVERBLkZZMjAxNi4zMS8xMi8yMDI1Li4uVVNEAQAAAMIo5QUCAAAACjM1MS43MTcxNzEBCAAAAAUAAAABMQEAAAAKMTk0OTgxNzMxMwMAAAADMTYwAgAAAAQ0MDUxBAAAAAEwBwAAAAoxMi8zMS8yMDI1CAAAAAoxMi8zMS8yMDE2CQAAAAEwNGVFKwGx3gg11b0+AbHeCDFDSVEuTkFTREFRR1M6SVEuSVFfRUJJVERBLkZZMjAxNy4zMS8xMi8yMDI1Li4uVVNEAQAAAMIo5QUCAAAACjc5My44NzI3NzYBCAAAAAUAAAABMQEAAAAKMjAyMTU4MTQ2MwMAAAADMTYwAgAAAAQ0MDUxBAAAAAEwBwAAAAoxMi8zMS8yMDI1CAAAAAoxMi8zMS8yMDE3CQAAAAEwNGVFKwGx3gg11b0+AbHeCDFDSVEuTkFTREFRR1M6SVEuSVFfRUJJVERBLkZZMjAxOC4zMS8xMi8yMDI1Li4uVVNEAQAAAMIo5QUCAAAACjY0MC45NDA3</t>
  </si>
  <si>
    <t>MjIBCAAAAAUAAAABMQEAAAAKMjA4MzY4MTEzNAMAAAADMTYwAgAAAAQ0MDUxBAAAAAEwBwAAAAoxMi8zMS8yMDI1CAAAAAoxMi8zMS8yMDE4CQAAAAEwNGVFKwGx3gg11b0+AbHeCDFDSVEuTkFTREFRR1M6SVEuSVFfRUJJVERBLkZZMjAxOS4zMS8xMi8yMDI1Li4uVVNEAQAAAMIo5QUCAAAACjcwOC42NTc4ODcBCAAAAAUAAAABMQEAAAALLTIxMDY2MDQwOTkDAAAAAzE2MAIAAAAENDA1MQQAAAABMAcAAAAKMTIvMzEvMjAyNQgAAAAKMTIvMzEvMjAxOQkAAAABMDRlRSsBsd4INdW9PgGx3ggxQ0lRLk5BU0RBUUdTOklRLklRX0VCSVREQS5GWTIwMjAuMzEvMTIvMjAyNS4uLlVTRAEAAADCKOUFAgAAAAsxMDc3Ljc0MjU0NwEIAAAABQAAAAExAQAAAAstMjA1NjA5MDMzNAMAAAADMTYwAgAAAAQ0MDUxBAAAAAEwBwAAAAoxMi8zMS8yMDI1CAAAAAoxMi8zMS8yMDIwCQAAAAEwNGVFKwGx3gg11b0+AbHeCDFDSVEuTkFTREFRR1M6SVEuSVFfRUJJVERBLkZZMjAyMS4zMS8xMi8yMDI1Li4uVVNEAQAAAMIo5QUCAAAACzEwMjQuMDY1NDIxAQgAAAAFAAAAATEBAAAACy0yMDA2MTA5MTM2AwAAAAMxNjACAAAABDQwNTEEAAAAATAHAAAACjEyLzMxLzIwMjUIAAAACjEyLzMxLzIwMjEJAAAAATA0ZUUrAbHeCDXVvT4Bsd4IMUNJUS5OQVNEQVFHUzpJUS5JUV9FQklUREEuRlkyMDIyLjMxLzEyLzIwMjUuLi5VU0QB</t>
  </si>
  <si>
    <t>AAAAwijlBQIAAAALMTQwMi43ODgwODUBCAAAAAUAAAABMQEAAAALLTE5NTQwODExNjQDAAAAAzE2MAIAAAAENDA1MQQAAAABMAcAAAAKMTIvMzEvMjAyNQgAAAAKMTIvMzEvMjAyMgkAAAABMDRlRSsBsd4INdW9PgGx3ggxQ0lRLk5BU0RBUUdTOklRLklRX0VCSVREQS5GWTIwMjMuMzEvMTIvMjAyNS4uLlVTRAEAAADCKOUFAgAAAAsxNTIwLjk1MDUxNgEIAAAABQAAAAExAQAAAAstMTk1NDA4MTE2MwMAAAADMTYwAgAAAAQ0MDUxBAAAAAEwBwAAAAoxMi8zMS8yMDI1CAAAAAoxMi8zMS8yMDIzCQAAAAEwNGVFKwGx3gg11b0+AbHeCDFDSVEuTkFTREFRR1M6SVEuSVFfRUJJVERBLkZZMjAyNC4zMS8xMi8yMDI1Li4uVVNEAQAAAMIo5QUCAAAACzEzMjAuNTI4MTQ2AQgAAAAFAAAAATEBAAAACy0xOTU0MDgxMTYxAwAAAAMxNjACAAAABDQwNTEEAAAAATAHAAAACjEyLzMxLzIwMjUIAAAACjEyLzMxLzIwMjQJAAAAATA0ZUUrAbHeCDXVvT4Bsd4IMUNJUS5OQVNEQVFHUzpJUS5JUV9FQklUREEuRlkyMDI1LjMxLzEyLzIwMjUuLi5VU0QBAAAAwijlBQMAAAAAADRlRSsBsd4ISrq7PgGx3ggzQ0lRLk5BU0RBUUdTOkJJTEkuSVFfRUJJVERBLkZZMjAxNS4zMS8xMi8yMDI1Li4uVVNEAQAAACJcZRECAAAACi01MC4zMTI5NzcBCAAAAAUAAAABMQEAAAAKMTg4MDA0MzY0OQMAAAADMTYwAgAAAAQ0MDUxBAAAAAEw</t>
  </si>
  <si>
    <t>BwAAAAoxMi8zMS8yMDI1CAAAAAoxMi8zMS8yMDE1CQAAAAEwNGVFKwGx3ghKurs+AbHeCDNDSVEuTkFTREFRR1M6QklMSS5JUV9FQklUREEuRlkyMDE2LjMxLzEyLzIwMjUuLi5VU0QBAAAAIlxlEQIAAAALLTEwNS41OTY1MzgBCAAAAAUAAAABMQEAAAAKMTk1MTcyMTgwMwMAAAADMTYwAgAAAAQ0MDUxBAAAAAEwBwAAAAoxMi8zMS8yMDI1CAAAAAoxMi8zMS8yMDE2CQAAAAEwNGVFKwGx3ghKurs+AbHeCDNDSVEuTkFTREFRR1M6QklMSS5JUV9FQklUREEuRlkyMDE3LjMxLzEyLzIwMjUuLi5VU0QBAAAAIlxlEQIAAAAJMTIuMzE0Mzg0AQgAAAAFAAAAATEBAAAACjIwMjQzMDQyNzMDAAAAAzE2MAIAAAAENDA1MQQAAAABMAcAAAAKMTIvMzEvMjAyNQgAAAAKMTIvMzEvMjAxNwkAAAABMDRlRSsBsd4ISrq7PgGx3ggzQ0lRLk5BU0RBUUdTOkJJTEkuSVFfRUJJVERBLkZZMjAxOC4zMS8xMi8yMDI1Li4uVVNEAQAAACJcZRECAAAACS0xMi41ODA5NQEIAAAABQAAAAExAQAAAAoyMDgzMjk5NzAyAwAAAAMxNjACAAAABDQwNTEEAAAAATAHAAAACjEyLzMxLzIwMjUIAAAACjEyLzMxLzIwMTgJAAAAATA0ZUUrAbHeCEq6uz4Bsd4IM0NJUS5OQVNEQVFHUzpCSUxJLklRX0VCSVREQS5GWTIwMTkuMzEvMTIvMjAyNS4uLlVTRAEAAAAiXGURAgAAAAotNTcuMTI4MjA4AQgAAAAFAAAAATEBAAAACy0yMTAxNTAyNDUx</t>
  </si>
  <si>
    <t>AwAAAAMxNjACAAAABDQwNTEEAAAAATAHAAAACjEyLzMxLzIwMjUIAAAACjEyLzMxLzIwMTkJAAAAATA0ZUUrAbHeCEq6uz4Bsd4IM0NJUS5OQVNEQVFHUzpCSUxJLklRX0VCSVREQS5GWTIwMjAuMzEvMTIvMjAyNS4uLlVTRAEAAAAiXGURAgAAAAstMjE3LjQwMDY2OAEIAAAABQAAAAExAQAAAAstMjA0OTAzMTYzMwMAAAADMTYwAgAAAAQ0MDUxBAAAAAEwBwAAAAoxMi8zMS8yMDI1CAAAAAoxMi8zMS8yMDIwCQAAAAEwNGVFKwGx3ghKurs+AbHeCDNDSVEuTkFTREFRR1M6QklMSS5JUV9FQklUREEuRlkyMDIxLjMxLzEyLzIwMjUuLi5VU0QBAAAAIlxlEQIAAAAKLTYyNy42NTU5MgEIAAAABQAAAAExAQAAAAstMjAwMjM5ODU1NQMAAAADMTYwAgAAAAQ0MDUxBAAAAAEwBwAAAAoxMi8zMS8yMDI1CAAAAAoxMi8zMS8yMDIxCQAAAAEwNGVFKwGx3ghKurs+AbHeCDNDSVEuTkFTREFRR1M6QklMSS5JUV9FQklUREEuRlkyMDIyLjMxLzEyLzIwMjUuLi5VU0QBAAAAIlxlEQIAAAALLTcyOC4wMDA3ODIBCAAAAAUAAAABMQEAAAALLTE5NTQ0ODQ0NDEDAAAAAzE2MAIAAAAENDA1MQQAAAABMAcAAAAKMTIvMzEvMjAyNQgAAAAKMTIvMzEvMjAyMgkAAAABMDRlRSsBsd4ISrq7PgGx3ggzQ0lRLk5BU0RBUUdTOkJJTEkuSVFfRUJJVERBLkZZMjAyMy4zMS8xMi8yMDI1Li4uVVNEAQAAACJcZRECAAAACy0zMjkuMTI1</t>
  </si>
  <si>
    <t>MzU4AQgAAAAFAAAAATEBAAAACy0xOTU0NDg0NDQ4AwAAAAMxNjACAAAABDQwNTEEAAAAATAHAAAACjEyLzMxLzIwMjUIAAAACjEyLzMxLzIwMjMJAAAAATA0ZUUrAbHeCEq6uz4Bsd4IM0NJUS5OQVNEQVFHUzpCSUxJLklRX0VCSVREQS5GWTIwMjQuMzEvMTIvMjAyNS4uLlVTRAEAAAAiXGURAgAAAAoxMzQuNjQyMDc5AQgAAAAFAAAAATEBAAAACy0xOTU0NDg0NDUyAwAAAAMxNjACAAAABDQwNTEEAAAAATAHAAAACjEyLzMxLzIwMjUIAAAACjEyLzMxLzIwMjQJAAAAATA0ZUUrAbHeCEq6uz4Bsd4IM0NJUS5OQVNEQVFHUzpCSUxJLklRX0VCSVREQS5GWTIwMjUuMzEvMTIvMjAyNS4uLlVTRAEAAAAiXGURAwAAAAAANGVFKwGx3ghKurs+AbHeCC5DSVEuTllTRTpESVMuSVFfRUJJVERBLkZZMjAxNS4zMS8xMi8yMDI1Li4uVVNEAQAAAEzsAgACAAAABTE1NTc4AQgAAAAFAAAAATEBAAAACjE4NjcyOTgwMTgDAAAAAzE2MAIAAAAENDA1MQQAAAABMAcAAAAKMTIvMzEvMjAyNQgAAAAJMTAvMy8yMDE1CQAAAAEwNGVFKwGx3gg11b0+AbHeCC5DSVEuTllTRTpESVMuSVFfRUJJVERBLkZZMjAxNi4zMS8xMi8yMDI1Li4uVVNEAQAAAEzsAgACAAAABTE3MDE0AQgAAAAFAAAAATEBAAAACjE5MjUyOTU0MjkDAAAAAzE2MAIAAAAENDA1MQQAAAABMAcAAAAKMTIvMzEvMjAyNQgAAAAJMTAvMS8yMDE2CQAAAAEwNGVF</t>
  </si>
  <si>
    <t>KwGx3gg11b0+AbHeCC5DSVEuTllTRTpESVMuSVFfRUJJVERBLkZZMjAxNy4zMS8xMi8yMDI1Li4uVVNEAQAAAEzsAgACAAAABTE2NjU1AQgAAAAFAAAAATEBAAAACjE5OTM4NTk0MTMDAAAAAzE2MAIAAAAENDA1MQQAAAABMAcAAAAKMTIvMzEvMjAyNQgAAAAJOS8zMC8yMDE3CQAAAAEwNGVFKwGx3gg11b0+AbHeCC5DSVEuTllTRTpESVMuSVFfRUJJVERBLkZZMjAxOC4zMS8xMi8yMDI1Li4uVVNEAQAAAEzsAgACAAAABTE3ODQ4AQgAAAAFAAAAATEBAAAACjIwNzI5MTE1MjkDAAAAAzE2MAIAAAAENDA1MQQAAAABMAcAAAAKMTIvMzEvMjAyNQgAAAAJOS8yOS8yMDE4CQAAAAEwNGVFKwGx3gg11b0+AbHeCC5DSVEuTllTRTpESVMuSVFfRUJJVERBLkZZMjAxOS4zMS8xMi8yMDI1Li4uVVNEAQAAAEzsAgACAAAABTE2MTk3AQgAAAAFAAAAATEBAAAACy0yMTE5MjkyOTUwAwAAAAMxNjACAAAABDQwNTEEAAAAATAHAAAACjEyLzMxLzIwMjUIAAAACTkvMjgvMjAxOQkAAAABMDRlRSsBsd4INdW9PgGx3gguQ0lRLk5ZU0U6RElTLklRX0VCSVREQS5GWTIwMjAuMzEvMTIvMjAyNS4uLlVTRAEAAABM7AIAAgAAAAQ5MTI2AQgAAAAFAAAAATEBAAAACy0yMDY2NzkyODYzAwAAAAMxNjACAAAABDQwNTEEAAAAATAHAAAACjEyLzMxLzIwMjUIAAAACTEwLzMvMjAyMAkAAAABMDRlRSsBsd4INdW9PgGx3gguQ0lRLk5Z</t>
  </si>
  <si>
    <t>U0U6RElTLklRX0VCSVREQS5GWTIwMjEuMzEvMTIvMjAyNS4uLlVTRAEAAABM7AIAAgAAAAQ4NjAzAQgAAAAFAAAAATEBAAAACy0yMDE3NTA4MjU4AwAAAAMxNjACAAAABDQwNTEEAAAAATAHAAAACjEyLzMxLzIwMjUIAAAACTEwLzIvMjAyMQkAAAABMDRlRSsBsd4INdW9PgGx3gguQ0lRLk5ZU0U6RElTLklRX0VCSVREQS5GWTIwMjIuMzEvMTIvMjAyNS4uLlVTRAEAAABM7AIAAgAAAAUxMTk5NQEIAAAABQAAAAExAQAAAAstMTk2OTAwNjM4NQMAAAADMTYwAgAAAAQ0MDUxBAAAAAEwBwAAAAoxMi8zMS8yMDI1CAAAAAkxMC8xLzIwMjIJAAAAATA0ZUUrAbHeCDXVvT4Bsd4ILkNJUS5OWVNFOkRJUy5JUV9FQklUREEuRlkyMDIzLjMxLzEyLzIwMjUuLi5VU0QBAAAATOwCAAIAAAAFMTQ3MDEBCAAAAAUAAAABMQEAAAALLTE5MTcwMTYxMTYDAAAAAzE2MAIAAAAENDA1MQQAAAABMAcAAAAKMTIvMzEvMjAyNQgAAAAJOS8zMC8yMDIzCQAAAAEwNGVFKwGx3gg11b0+AbHeCC5DSVEuTllTRTpESVMuSVFfRUJJVERBLkZZMjAyNC4zMS8xMi8yMDI1Li4uVVNEAQAAAEzsAgACAAAABTE3MzA4AQgAAAAFAAAAATEBAAAACy0xOTE3MDE2MTI4AwAAAAMxNjACAAAABDQwNTEEAAAAATAHAAAACjEyLzMxLzIwMjUIAAAACTkvMjgvMjAyNAkAAAABMDRlRSsBsd4INdW9PgGx3gguQ0lRLk5ZU0U6RElTLklRX0VCSVREQS5G</t>
  </si>
  <si>
    <t>WTIwMjUuMzEvMTIvMjAyNS4uLlVTRAEAAABM7AIAAgAAAAUxOTQxOQEIAAAABQAAAAExAQAAAAstMTkxNzAxNjE1MQMAAAADMTYwAgAAAAQ0MDUxBAAAAAEwBwAAAAoxMi8zMS8yMDI1CAAAAAk5LzI3LzIwMjUJAAAAATA0ZUUrAbHeCDXVvT4Bsd4IMkNJUS5OQVNEQVFHUzpXQkQuSVFfRUJJVERBLkZZMjAxNS4zMS8xMi8yMDI1Li4uVVNEAQAAAG3bWQECAAAABDI0NDIBCAAAAAUAAAABMQEAAAAKMTg3NzIzNjcyOQMAAAADMTYwAgAAAAQ0MDUxBAAAAAEwBwAAAAoxMi8zMS8yMDI1CAAAAAoxMi8zMS8yMDE1CQAAAAEwNGVFKwGx3ghKurs+AbHeCDJDSVEuTkFTREFRR1M6V0JELklRX0VCSVREQS5GWTIwMTYuMzEvMTIvMjAyNS4uLlVTRAEAAABt21kBAgAAAAQyNDQ0AQgAAAAFAAAAATEBAAAACjE5NDgwOTg5MTQDAAAAAzE2MAIAAAAENDA1MQQAAAABMAcAAAAKMTIvMzEvMjAyNQgAAAAKMTIvMzEvMjAxNgkAAAABMDRlRSsBsd4ISrq7PgGx3ggyQ0lRLk5BU0RBUUdTOldCRC5JUV9FQklUREEuRlkyMDE3LjMxLzEyLzIwMjUuLi5VU0QBAAAAbdtZAQIAAAAEMjU2MAEIAAAABQAAAAExAQAAAAoyMDE4MTA0NjAxAwAAAAMxNjACAAAABDQwNTEEAAAAATAHAAAACjEyLzMxLzIwMjUIAAAACjEyLzMxLzIwMTcJAAAAATA0ZUUrAbHeCDXVvT4Bsd4IMkNJUS5OQVNEQVFHUzpXQkQuSVFfRUJJVERBLkZZMjAx</t>
  </si>
  <si>
    <t>OC4zMS8xMi8yMDI1Li4uVVNEAQAAAG3bWQECAAAABDQxMzMBCAAAAAUAAAABMQEAAAAKMjA4MTMwMjM2MwMAAAADMTYwAgAAAAQ0MDUxBAAAAAEwBwAAAAoxMi8zMS8yMDI1CAAAAAoxMi8zMS8yMDE4CQAAAAEwNGVFKwGx3ghKurs+AbHeCDJDSVEuTkFTREFRR1M6V0JELklRX0VCSVREQS5GWTIwMTkuMzEvMTIvMjAyNS4uLlVTRAEAAABt21kBAgAAAAQ0NjMwAQgAAAAFAAAAATEBAAAACy0yMTEwNjc3ODYwAwAAAAMxNjACAAAABDQwNTEEAAAAATAHAAAACjEyLzMxLzIwMjUIAAAACjEyLzMxLzIwMTkJAAAAATA0ZUUrAbHeCEq6uz4Bsd4IMkNJUS5OQVNEQVFHUzpXQkQuSVFfRUJJVERBLkZZMjAyMC4zMS8xMi8yMDI1Li4uVVNEAQAAAG3bWQECAAAABDQxNDMBCAAAAAUAAAABMQEAAAALLTIwNTk2NDk4ODYDAAAAAzE2MAIAAAAENDA1MQQAAAABMAcAAAAKMTIvMzEvMjAyNQgAAAAKMTIvMzEvMjAyMAkAAAABMDRlRSsBsd4ISrq7PgGx3ggyQ0lRLk5BU0RBUUdTOldCRC5JUV9FQklUREEuRlkyMDIxLjMxLzEyLzIwMjUuLi5VU0QBAAAAbdtZAQIAAAAEMzY1NQEIAAAABQAAAAExAQAAAAstMjAwODg2Nzc5NAMAAAADMTYwAgAAAAQ0MDUxBAAAAAEwBwAAAAoxMi8zMS8yMDI1CAAAAAoxMi8zMS8yMDIxCQAAAAEwNGVFKwGx3ghKurs+AbHeCDJDSVEuTkFTREFRR1M6V0JELklRX0VCSVREQS5GWTIwMjIu</t>
  </si>
  <si>
    <t>MzEvMTIvMjAyNS4uLlVTRAEAAABt21kBAgAAAAQ0OTQzAQgAAAAFAAAAATEBAAAACy0xOTU3NDYxOTExAwAAAAMxNjACAAAABDQwNTEEAAAAATAHAAAACjEyLzMxLzIwMjUIAAAACjEyLzMxLzIwMjIJAAAAATA0ZUUrAbHeCEq6uz4Bsd4IMkNJUS5OQVNEQVFHUzpXQkQuSVFfRUJJVERBLkZZMjAyMy4zMS8xMi8yMDI1Li4uVVNEAQAAAG3bWQECAAAABDc0MDkBCAAAAAUAAAABMQEAAAALLTE5NTc0NjE5NTYDAAAAAzE2MAIAAAAENDA1MQQAAAABMAcAAAAKMTIvMzEvMjAyNQgAAAAKMTIvMzEvMjAyMwkAAAABMDRlRSsBsd4ISrq7PgGx3ggyQ0lRLk5BU0RBUUdTOldCRC5JUV9FQklUREEuRlkyMDI0LjMxLzEyLzIwMjUuLi5VU0QBAAAAbdtZAQIAAAAENzY3MQEIAAAABQAAAAExAQAAAAstMTk1NzQ2MTk1MwMAAAADMTYwAgAAAAQ0MDUxBAAAAAEwBwAAAAoxMi8zMS8yMDI1CAAAAAoxMi8zMS8yMDI0CQAAAAEwNGVFKwGx3ghKurs+AbHeCDJDSVEuTkFTREFRR1M6V0JELklRX0VCSVREQS5GWTIwMjUuMzEvMTIvMjAyNS4uLlVTRAEAAABt21kBAwAAAAAANGVFKwGx3ghKurs+AbHeCDNDSVEuTkFTREFRR1M6UFNLWS5JUV9FQklUREEuRlkyMDE1LjMxLzEyLzIwMjUuLi5VU0QBAAAAH6KnAQIAAAAEMjc5OQEIAAAABQAAAAExAQAAAAoxODc1MTk2MjY4AwAAAAMxNjACAAAABDQwNTEEAAAAATAHAAAACjEy</t>
  </si>
  <si>
    <t>LzMxLzIwMjUIAAAACjEyLzMxLzIwMTUJAAAAATA0ZUUrAbHeCDXVvT4Bsd4IM0NJUS5OQVNEQVFHUzpQU0tZLklRX0VCSVREQS5GWTIwMTYuMzEvMTIvMjAyNS4uLlVTRAEAAAAfoqcBAgAAAAQzMDc3AQgAAAAFAAAAATEBAAAACjE5NDUyNzY4NDkDAAAAAzE2MAIAAAAENDA1MQQAAAABMAcAAAAKMTIvMzEvMjAyNQgAAAAKMTIvMzEvMjAxNgkAAAABMDRlRSsBsd4INdW9PgGx3ggzQ0lRLk5BU0RBUUdTOlBTS1kuSVFfRUJJVERBLkZZMjAxNy4zMS8xMi8yMDI1Li4uVVNEAQAAAB+ipwECAAAABDU4MDABCAAAAAUAAAABMQEAAAAKMjAxNjIzMTc1MgMAAAADMTYwAgAAAAQ0MDUxBAAAAAEwBwAAAAoxMi8zMS8yMDI1CAAAAAoxMi8zMS8yMDE3CQAAAAEwNGVFKwGx3gg11b0+AbHeCDNDSVEuTkFTREFRR1M6UFNLWS5JUV9FQklUREEuRlkyMDE4LjMxLzEyLzIwMjUuLi5VU0QBAAAAH6KnAQIAAAAENTkxMwEIAAAABQAAAAExAQAAAAoyMDgxNTg0OTM3AwAAAAMxNjACAAAABDQwNTEEAAAAATAHAAAACjEyLzMxLzIwMjUIAAAACjEyLzMxLzIwMTgJAAAAATA0ZUUrAbHeCDXVvT4Bsd4IM0NJUS5OQVNEQVFHUzpQU0tZLklRX0VCSVREQS5GWTIwMTkuMzEvMTIvMjAyNS4uLlVTRAEAAAAfoqcBAgAAAAQ1Mjk0AQgAAAAFAAAAATEBAAAACy0yMTEyMTg2NDE0AwAAAAMxNjACAAAABDQwNTEEAAAAATAHAAAACjEy</t>
  </si>
  <si>
    <t>LzMxLzIwMjUIAAAACjEyLzMxLzIwMTkJAAAAATA0ZUUrAbHeCDXVvT4Bsd4IM0NJUS5OQVNEQVFHUzpQU0tZLklRX0VCSVREQS5GWTIwMjAuMzEvMTIvMjAyNS4uLlVTRAEAAAAfoqcBAgAAAAQ1MDU4AQgAAAAFAAAAATEBAAAACy0yMDYwNzE1ODk5AwAAAAMxNjACAAAABDQwNTEEAAAAATAHAAAACjEyLzMxLzIwMjUIAAAACjEyLzMxLzIwMjAJAAAAATA0ZUUrAbHeCDXVvT4Bsd4IM0NJUS5OQVNEQVFHUzpQU0tZLklRX0VCSVREQS5GWTIwMjEuMzEvMTIvMjAyNS4uLlVTRAEAAAAfoqcBAgAAAAQ0MzkxAQgAAAAFAAAAATEBAAAACy0yMDA4MTkwNjY3AwAAAAMxNjACAAAABDQwNTEEAAAAATAHAAAACjEyLzMxLzIwMjUIAAAACjEyLzMxLzIwMjEJAAAAATA0ZUUrAbHeCDXVvT4Bsd4IM0NJUS5OQVNEQVFHUzpQU0tZLklRX0VCSVREQS5GWTIwMjIuMzEvMTIvMjAyNS4uLlVTRAEAAAAfoqcBAgAAAAQzMjExAQgAAAAFAAAAATEBAAAACy0xOTU4MTY4NzgwAwAAAAMxNjACAAAABDQwNTEEAAAAATAHAAAACjEyLzMxLzIwMjUIAAAACjEyLzMxLzIwMjIJAAAAATA0ZUUrAbHeCDXVvT4Bsd4IM0NJUS5OQVNEQVFHUzpQU0tZLklRX0VCSVREQS5GWTIwMjMuMzEvMTIvMjAyNS4uLlVTRAEAAAAfoqcBAgAAAAQyMjczAQgAAAAFAAAAATEBAAAACy0xOTU4MTY4Nzc5AwAAAAMxNjACAAAABDQwNTEEAAAAATAHAAAA</t>
  </si>
  <si>
    <t>CjEyLzMxLzIwMjUIAAAACjEyLzMxLzIwMjMJAAAAATA0ZUUrAbHeCDXVvT4Bsd4IM0NJUS5OQVNEQVFHUzpQU0tZLklRX0VCSVREQS5GWTIwMjQuMzEvMTIvMjAyNS4uLlVTRAEAAAAfoqcBAgAAAAQyOTE3AQgAAAAFAAAAATEBAAAACy0xOTU4MTY4Nzc4AwAAAAMxNjACAAAABDQwNTEEAAAAATAHAAAACjEyLzMxLzIwMjUIAAAACjEyLzMxLzIwMjQJAAAAATA0ZUUrAbHeCDXVvT4Bsd4IM0NJUS5OQVNEQVFHUzpQU0tZLklRX0VCSVREQS5GWTIwMjUuMzEvMTIvMjAyNS4uLlVTRAEAAAAfoqcBAwAAAAAANGVFKwGx3gg11b0+AbHeCDRDSVEuTkFTREFRR1M6Q01DU0EuSVFfRUJJVERBLkZZMjAxNS4zMS8xMi8yMDI1Li4uVVNEAQAAAB2lAgACAAAABTI0Njc4AQgAAAAFAAAAATEBAAAACjE4NzI3OTI0MTIDAAAAAzE2MAIAAAAENDA1MQQAAAABMAcAAAAKMTIvMzEvMjAyNQgAAAAKMTIvMzEvMjAxNQkAAAABMDRlRSsBsd4INdW9PgGx3gg0Q0lRLk5BU0RBUUdTOkNNQ1NBLklRX0VCSVREQS5GWTIwMTYuMzEvMTIvMjAyNS4uLlVTRAEAAAAdpQIAAgAAAAUyNjMxOAEIAAAABQAAAAExAQAAAAoxOTQzNDI5ODc3AwAAAAMxNjACAAAABDQwNTEEAAAAATAHAAAACjEyLzMxLzIwMjUIAAAACjEyLzMxLzIwMTYJAAAAATA0ZUUrAbHeCDXVvT4Bsd4INENJUS5OQVNEQVFHUzpDTUNTQS5JUV9FQklUREEuRlkyMDE3</t>
  </si>
  <si>
    <t>LjMxLzEyLzIwMjUuLi5VU0QBAAAAHaUCAAIAAAAFMjc3MDYBCAAAAAUAAAABMQEAAAAKMjAwMzg3NzgwNQMAAAADMTYwAgAAAAQ0MDUxBAAAAAEwBwAAAAoxMi8zMS8yMDI1CAAAAAoxMi8zMS8yMDE3CQAAAAEwNGVFKwGx3gg11b0+AbHeCDRDSVEuTkFTREFRR1M6Q01DU0EuSVFfRUJJVERBLkZZMjAxOC4zMS8xMi8yMDI1Li4uVVNEAQAAAB2lAgACAAAABTMwMTY1AQgAAAAFAAAAATEBAAAACjIwNzg4MzAyNzMDAAAAAzE2MAIAAAAENDA1MQQAAAABMAcAAAAKMTIvMzEvMjAyNQgAAAAKMTIvMzEvMjAxOAkAAAABMDRlRSsBsd4INdW9PgGx3gg0Q0lRLk5BU0RBUUdTOkNNQ1NBLklRX0VCSVREQS5GWTIwMTkuMzEvMTIvMjAyNS4uLlVTRAEAAAAdpQIAAgAAAAUzNDA3OAEIAAAABQAAAAExAQAAAAstMjExNDAwODk4OAMAAAADMTYwAgAAAAQ0MDUxBAAAAAEwBwAAAAoxMi8zMS8yMDI1CAAAAAoxMi8zMS8yMDE5CQAAAAEwNGVFKwGx3gg11b0+AbHeCDRDSVEuTkFTREFRR1M6Q01DU0EuSVFfRUJJVERBLkZZMjAyMC4zMS8xMi8yMDI1Li4uVVNEAQAAAB2lAgACAAAABTMwNTkzAQgAAAAFAAAAATEBAAAACy0yMDYyMzgyNDkzAwAAAAMxNjACAAAABDQwNTEEAAAAATAHAAAACjEyLzMxLzIwMjUIAAAACjEyLzMxLzIwMjAJAAAAATA0ZUUrAbHeCDXVvT4Bsd4INENJUS5OQVNEQVFHUzpDTUNTQS5JUV9FQklU</t>
  </si>
  <si>
    <t>REEuRlkyMDIxLjMxLzEyLzIwMjUuLi5VU0QBAAAAHaUCAAIAAAAFMzQ2MjEBCAAAAAUAAAABMQEAAAALLTIwMTIwMjcxMzYDAAAAAzE2MAIAAAAENDA1MQQAAAABMAcAAAAKMTIvMzEvMjAyNQgAAAAKMTIvMzEvMjAyMQkAAAABMDRlRSsBsd4INdW9PgGx3gg0Q0lRLk5BU0RBUUdTOkNNQ1NBLklRX0VCSVREQS5GWTIwMjIuMzEvMTIvMjAyNS4uLlVTRAEAAAAdpQIAAgAAAAUzNjQ0NQEIAAAABQAAAAExAQAAAAstMTk2MTM1Njg5MQMAAAADMTYwAgAAAAQ0MDUxBAAAAAEwBwAAAAoxMi8zMS8yMDI1CAAAAAoxMi8zMS8yMDIyCQAAAAEwNGVFKwGx3gg11b0+AbHeCDRDSVEuTkFTREFRR1M6Q01DU0EuSVFfRUJJVERBLkZZMjAyMy4zMS8xMi8yMDI1Li4uVVNEAQAAAB2lAgACAAAABTM3NjQ5AQgAAAAFAAAAATEBAAAACy0xOTYxMzU2ODkyAwAAAAMxNjACAAAABDQwNTEEAAAAATAHAAAACjEyLzMxLzIwMjUIAAAACjEyLzMxLzIwMjMJAAAAATA0ZUUrAbHeCDXVvT4Bsd4INENJUS5OQVNEQVFHUzpDTUNTQS5JUV9FQklUREEuRlkyMDI0LjMxLzEyLzIwMjUuLi5VU0QBAAAAHaUCAAIAAAAFMzgxMDABCAAAAAUAAAABMQEAAAALLTE5NjEzNTY5MDkDAAAAAzE2MAIAAAAENDA1MQQAAAABMAcAAAAKMTIvMzEvMjAyNQgAAAAKMTIvMzEvMjAyNAkAAAABMDRlRSsBsd4INdW9PgGx3gg0Q0lRLk5BU0RBUUdTOkNN</t>
  </si>
  <si>
    <t>Q1NBLklRX0VCSVREQS5GWTIwMjUuMzEvMTIvMjAyNS4uLlVTRAEAAAAdpQIAAwAAAAAANGVFKwGx3gg11b0+AbHeCDFDSVEuTkFTREFRR1M6TkZMWC5JUV9FQklULkZZMjAxNS4zMS8xMi8yMDI1Li4uVVNEAQAAAAx9AAACAAAABzMwNS44MjYBCAAAAAUAAAABMQEAAAAKMTg3MzA4NTg4NQMAAAADMTYwAgAAAAM0MDAEAAAAATAHAAAACjEyLzMxLzIwMjUIAAAACjEyLzMxLzIwMTUJAAAAATA0ZUUrAbHeCEq6uz4Bsd4IMUNJUS5OQVNEQVFHUzpORkxYLklRX0VCSVQuRlkyMDE2LjMxLzEyLzIwMjUuLi5VU0QBAAAADH0AAAIAAAAHMzc5Ljc5MwELAAAABQAAAAIxNgcAAAAFMzIwMTIBAAAACTcxNzAzMjU1OQIAAAADNDAwCQAAAAEwCgAAAAE0BgAAAAExBAAAAAEwAwAAAAMxNjALAAAACjEyLzMxLzIwMjUIAAAAATA0ZUUrAbHeCEq6uz4Bsd4IMUNJUS5OQVNEQVFHUzpORkxYLklRX0VCSVQuRlkyMDE3LjMxLzEyLzIwMjUuLi5VU0QBAAAADH0AAAIAAAAHODM4LjY3OQEIAAAABQAAAAExAQAAAAoyMDAzMTUwMDA2AwAAAAMxNjACAAAAAzQwMAQAAAABMAcAAAAKMTIvMzEvMjAyNQgAAAAKMTIvMzEvMjAxNwkAAAABMDRlRSsBsd4ISrq7PgGx3ggxQ0lRLk5BU0RBUUdTOk5GTFguSVFfRUJJVC5GWTIwMTguMzEvMTIvMjAyNS4uLlVTRAEAAAAMfQAAAgAAAAgxNjA1LjIyNgEIAAAABQAAAAExAQAAAAoyMDc3</t>
  </si>
  <si>
    <t>NjkwMTYwAwAAAAMxNjACAAAAAzQwMAQAAAABMAcAAAAKMTIvMzEvMjAyNQgAAAAKMTIvMzEvMjAxOAkAAAABMDRlRSsBsd4ISrq7PgGx3ggxQ0lRLk5BU0RBUUdTOk5GTFguSVFfRUJJVC5GWTIwMTkuMzEvMTIvMjAyNS4uLlVTRAEAAAAMfQAAAgAAAAgyNjA0LjI1NAEIAAAABQAAAAExAQAAAAstMjExNDUyNTA5OQMAAAADMTYwAgAAAAM0MDAEAAAAATAHAAAACjEyLzMxLzIwMjUIAAAACjEyLzMxLzIwMTkJAAAAATA0ZUUrAbHeCEq6uz4Bsd4IMUNJUS5OQVNEQVFHUzpORkxYLklRX0VCSVQuRlkyMDIwLjMxLzEyLzIwMjUuLi5VU0QBAAAADH0AAAIAAAAINDU4NS4yODkBCAAAAAUAAAABMQEAAAALLTIxMTQ1MjUwODcDAAAAAzE2MAIAAAADNDAwBAAAAAEwBwAAAAoxMi8zMS8yMDI1CAAAAAoxMi8zMS8yMDIwCQAAAAEwNGVFKwGx3ghKurs+AbHeCDFDSVEuTkFTREFRR1M6TkZMWC5JUV9FQklULkZZMjAyMS4zMS8xMi8yMDI1Li4uVVNEAQAAAAx9AAACAAAACDYxOTQuNTA5AQgAAAAFAAAAATEBAAAACy0yMDEyNDE1Nzc2AwAAAAMxNjACAAAAAzQwMAQAAAABMAcAAAAKMTIvMzEvMjAyNQgAAAAKMTIvMzEvMjAyMQkAAAABMDRlRSsBsd4ISrq7PgGx3ggxQ0lRLk5BU0RBUUdTOk5GTFguSVFfRUJJVC5GWTIwMjIuMzEvMTIvMjAyNS4uLlVTRAEAAAAMfQAAAgAAAAg1NjMyLjgzMQEIAAAABQAAAAExAQAA</t>
  </si>
  <si>
    <t>AAstMTk2MTgyNDk3MAMAAAADMTYwAgAAAAM0MDAEAAAAATAHAAAACjEyLzMxLzIwMjUIAAAACjEyLzMxLzIwMjIJAAAAATA0ZUUrAbHeCEq6uz4Bsd4IMUNJUS5OQVNEQVFHUzpORkxYLklRX0VCSVQuRlkyMDIzLjMxLzEyLzIwMjUuLi5VU0QBAAAADH0AAAIAAAAINjk1NC4wMDMBCAAAAAUAAAABMQEAAAALLTE5NjE4MjQ5NjkDAAAAAzE2MAIAAAADNDAwBAAAAAEwBwAAAAoxMi8zMS8yMDI1CAAAAAoxMi8zMS8yMDIzCQAAAAEwNGVFKwGx3ghKurs+AbHeCDFDSVEuTkFTREFRR1M6TkZMWC5JUV9FQklULkZZMjAyNC4zMS8xMi8yMDI1Li4uVVNEAQAAAAx9AAACAAAACTEwNDE3LjYxNAEIAAAABQAAAAExAQAAAAstMTk2MTgyNDk2NwMAAAADMTYwAgAAAAM0MDAEAAAAATAHAAAACjEyLzMxLzIwMjUIAAAACjEyLzMxLzIwMjQJAAAAATA0ZUUrAbHeCEq6uz4Bsd4IMUNJUS5OQVNEQVFHUzpORkxYLklRX0VCSVQuRlkyMDI1LjMxLzEyLzIwMjUuLi5VU0QBAAAADH0AAAMAAAAAADRlRSsBsd4ISrq7PgGx3ggtQ0lRLk5ZU0U6U1BPVC5JUV9FQklULkZZMjAxNS4zMS8xMi8yMDI1Li4uVVNEAQAAAMVOcg0CAAAACy0yNTUuMjgyMTY4AQgAAAAFAAAAATEBAAAACjE4ODEzOTIzNTADAAAAAzE2MAIAAAADNDAwBAAAAAEwBwAAAAoxMi8zMS8yMDI1CAAAAAgxLzEvMjAxNgkAAAABMDRlRSsBsd4ISrq7PgGx3ggt</t>
  </si>
  <si>
    <t>Q0lRLk5ZU0U6U1BPVC5JUV9FQklULkZZMjAxNi4zMS8xMi8yMDI1Li4uVVNEAQAAAMVOcg0CAAAACy0zNjguNDE1NDk3AQgAAAAFAAAAATEBAAAACjE5NDQ1Mzk3MzADAAAAAzE2MAIAAAADNDAwBAAAAAEwBwAAAAoxMi8zMS8yMDI1CAAAAAoxMi8zMS8yMDE2CQAAAAEwNGVFKwGx3ghKurs+AbHeCC1DSVEuTllTRTpTUE9ULklRX0VCSVQuRlkyMDE3LjMxLzEyLzIwMjUuLi5VU0QBAAAAxU5yDQIAAAAKLTQ1My44OTA0OQEIAAAABQAAAAExAQAAAAoyMDEzMTg1OTA2AwAAAAMxNjACAAAAAzQwMAQAAAABMAcAAAAKMTIvMzEvMjAyNQgAAAAKMTIvMzEvMjAxNwkAAAABMDRlRSsBsd4ISrq7PgGx3ggtQ0lRLk5ZU0U6U1BPVC5JUV9FQklULkZZMjAxOC4zMS8xMi8yMDI1Li4uVVNEAQAAAMVOcg0CAAAACi00OS4yMzI4ODMBCAAAAAUAAAABMQEAAAAKMjA3ODk1NDM0OQMAAAADMTYwAgAAAAM0MDAEAAAAATAHAAAACjEyLzMxLzIwMjUIAAAACjEyLzMxLzIwMTgJAAAAATA0ZUUrAbHeCEq6uz4Bsd4ILUNJUS5OWVNFOlNQT1QuSVFfRUJJVC5GWTIwMTkuMzEvMTIvMjAyNS4uLlVTRAEAAADFTnINAgAAAAotNjYuMjEwMzAyAQgAAAAFAAAAATEBAAAACy0yMTEzNzcwMDUyAwAAAAMxNjACAAAAAzQwMAQAAAABMAcAAAAKMTIvMzEvMjAyNQgAAAAKMTIvMzEvMjAxOQkAAAABMDRlRSsBsd4ISrq7PgGx3ggtQ0lR</t>
  </si>
  <si>
    <t>Lk5ZU0U6U1BPVC5JUV9FQklULkZZMjAyMC4zMS8xMi8yMDI1Li4uVVNEAQAAAMVOcg0CAAAACy0zNTguNDA5Nzg2AQgAAAAFAAAAATEBAAAACy0yMDYyNDQzMzc5AwAAAAMxNjACAAAAAzQwMAQAAAABMAcAAAAKMTIvMzEvMjAyNQgAAAAKMTIvMzEvMjAyMAkAAAABMDRlRSsBsd4ISrq7PgGx3ggtQ0lRLk5ZU0U6U1BPVC5JUV9FQklULkZZMjAyMS4zMS8xMi8yMDI1Li4uVVNEAQAAAMVOcg0CAAAACjEwNi45MDMyMTkBCAAAAAUAAAABMQEAAAALLTIwMTA5OTkzNDUDAAAAAzE2MAIAAAADNDAwBAAAAAEwBwAAAAoxMi8zMS8yMDI1CAAAAAoxMi8zMS8yMDIxCQAAAAEwNGVFKwGx3ghKurs+AbHeCC1DSVEuTllTRTpTUE9ULklRX0VCSVQuRlkyMDIyLjMxLzEyLzIwMjUuLi5VU0QBAAAAxU5yDQIAAAALLTcwNC4yODU1NjEBCAAAAAUAAAABMQEAAAALLTE5NjA5MDE5MTIDAAAAAzE2MAIAAAADNDAwBAAAAAEwBwAAAAoxMi8zMS8yMDI1CAAAAAoxMi8zMS8yMDIyCQAAAAEwNGVFKwGx3ghKurs+AbHeCC1DSVEuTllTRTpTUE9ULklRX0VCSVQuRlkyMDIzLjMxLzEyLzIwMjUuLi5VU0QBAAAAxU5yDQIAAAAJLTkwLjYzNzc4AQgAAAAFAAAAATEBAAAACy0xOTYwOTAxODkzAwAAAAMxNjACAAAAAzQwMAQAAAABMAcAAAAKMTIvMzEvMjAyNQgAAAAKMTIvMzEvMjAyMwkAAAABMDRlRSsBsd4ISrq7PgGx3ggtQ0lR</t>
  </si>
  <si>
    <t>Lk5ZU0U6U1BPVC5JUV9FQklULkZZMjAyNC4zMS8xMi8yMDI1Li4uVVNEAQAAAMVOcg0CAAAACzE0NTcuNzA3ODM4AQgAAAAFAAAAATEBAAAACy0xOTYwOTAxOTE0AwAAAAMxNjACAAAAAzQwMAQAAAABMAcAAAAKMTIvMzEvMjAyNQgAAAAKMTIvMzEvMjAyNAkAAAABMDRlRSsBsd4ISrq7PgGx3ggtQ0lRLk5ZU0U6U1BPVC5JUV9FQklULkZZMjAyNS4zMS8xMi8yMDI1Li4uVVNEAQAAAMVOcg0DAAAAAAA0ZUUrAbHeCENvuz4Bsd4IMUNJUS5OQVNEQVFHUzpST0tVLklRX0VCSVQuRlkyMDE1LjMxLzEyLzIwMjUuLi5VU0QBAAAASZqEAAIAAAAHLTM3LjU1MgEIAAAABQAAAAExAQAAAAoxODc2OTk1NDM4AwAAAAMxNjACAAAAAzQwMAQAAAABMAcAAAAKMTIvMzEvMjAyNQgAAAAKMTIvMjYvMjAxNQkAAAABMDRlRSsBsd4ISrq7PgGx3ggxQ0lRLk5BU0RBUUdTOlJPS1UuSVFfRUJJVC5GWTIwMTYuMzEvMTIvMjAyNS4uLlVTRAEAAABJmoQAAgAAAActNDMuMzYxAQgAAAAFAAAAATEBAAAACjE5NDgwNjQ5NjgDAAAAAzE2MAIAAAADNDAwBAAAAAEwBwAAAAoxMi8zMS8yMDI1CAAAAAoxMi8zMS8yMDE2CQAAAAEwNGVFKwGx3ghKurs+AbHeCDFDSVEuTkFTREFRR1M6Uk9LVS5JUV9FQklULkZZMjAxNy4zMS8xMi8yMDI1Li4uVVNEAQAAAEmahAACAAAABy0xOS42MTYBCAAAAAUAAAABMQEAAAAKMjAxODg1MDM2MgMA</t>
  </si>
  <si>
    <t>AAADMTYwAgAAAAM0MDAEAAAAATAHAAAACjEyLzMxLzIwMjUIAAAACjEyLzMxLzIwMTcJAAAAATA0ZUUrAbHeCEq6uz4Bsd4IMUNJUS5OQVNEQVFHUzpST0tVLklRX0VCSVQuRlkyMDE4LjMxLzEyLzIwMjUuLi5VU0QBAAAASZqEAAIAAAAHLTEzLjI5NgEIAAAABQAAAAExAQAAAAoyMDgyMTAwNDg4AwAAAAMxNjACAAAAAzQwMAQAAAABMAcAAAAKMTIvMzEvMjAyNQgAAAAKMTIvMzEvMjAxOAkAAAABMDRlRSsBsd4ISrq7PgGx3ggxQ0lRLk5BU0RBUUdTOlJPS1UuSVFfRUJJVC5GWTIwMTkuMzEvMTIvMjAyNS4uLlVTRAEAAABJmoQAAgAAAActNjUuMDU5AQgAAAAFAAAAATEBAAAACy0yMTExNjI5OTk2AwAAAAMxNjACAAAAAzQwMAQAAAABMAcAAAAKMTIvMzEvMjAyNQgAAAAKMTIvMzEvMjAxOQkAAAABMDRlRSsBsd4ISrq7PgGx3ggxQ0lRLk5BU0RBUUdTOlJPS1UuSVFfRUJJVC5GWTIwMjAuMzEvMTIvMjAyNS4uLlVTRAEAAABJmoQAAgAAAActMjAuMjUzAQgAAAAFAAAAATEBAAAACy0yMDYwNjMzNzY4AwAAAAMxNjACAAAAAzQwMAQAAAABMAcAAAAKMTIvMzEvMjAyNQgAAAAKMTIvMzEvMjAyMAkAAAABMDRlRSsBsd4ISrq7PgGx3ggxQ0lRLk5BU0RBUUdTOlJPS1UuSVFfRUJJVC5GWTIwMjEuMzEvMTIvMjAyNS4uLlVTRAEAAABJmoQAAgAAAAUyMzUuMQEIAAAABQAAAAExAQAAAAstMjAwOTkyNzk0NAMA</t>
  </si>
  <si>
    <t>AAADMTYwAgAAAAM0MDAEAAAAATAHAAAACjEyLzMxLzIwMjUIAAAACjEyLzMxLzIwMjEJAAAAATA0ZUUrAbHeCEq6uz4Bsd4IMUNJUS5OQVNEQVFHUzpST0tVLklRX0VCSVQuRlkyMDIyLjMxLzEyLzIwMjUuLi5VU0QBAAAASZqEAAIAAAAILTQ5Mi43NDgBCAAAAAUAAAABMQEAAAALLTE5NTk0ODYxOTMDAAAAAzE2MAIAAAADNDAwBAAAAAEwBwAAAAoxMi8zMS8yMDI1CAAAAAoxMi8zMS8yMDIyCQAAAAEwNGVFKwGx3ghKurs+AbHeCDFDSVEuTkFTREFRR1M6Uk9LVS5JUV9FQklULkZZMjAyMy4zMS8xMi8yMDI1Li4uVVNEAQAAAEmahAACAAAACC00MzYuMjgzAQgAAAAFAAAAATEBAAAACy0xOTU5NDg2MTk2AwAAAAMxNjACAAAAAzQwMAQAAAABMAcAAAAKMTIvMzEvMjAyNQgAAAAKMTIvMzEvMjAyMwkAAAABMDRlRSsBsd4ISrq7PgGx3ggxQ0lRLk5BU0RBUUdTOlJPS1UuSVFfRUJJVC5GWTIwMjQuMzEvMTIvMjAyNS4uLlVTRAEAAABJmoQAAgAAAAgtMTg3LjE2OAEIAAAABQAAAAExAQAAAAstMTk1OTQ4NjE5MAMAAAADMTYwAgAAAAM0MDAEAAAAATAHAAAACjEyLzMxLzIwMjUIAAAACjEyLzMxLzIwMjQJAAAAATA0ZUUrAbHeCEq6uz4Bsd4IMUNJUS5OQVNEQVFHUzpST0tVLklRX0VCSVQuRlkyMDI1LjMxLzEyLzIwMjUuLi5VU0QBAAAASZqEAAMAAAAAADRlRSsBsd4ISrq7PgGx3ggvQ0lRLk5BU0RBUUdT</t>
  </si>
  <si>
    <t>OklRLklRX0VCSVQuRlkyMDE1LjMxLzEyLzIwMjUuLi5VU0QBAAAAwijlBQIAAAALLTM3My45MDg1MTEBCAAAAAUAAAABMQEAAAAKMTg3NjU5MDg2NAMAAAADMTYwAgAAAAM0MDAEAAAAATAHAAAACjEyLzMxLzIwMjUIAAAACjEyLzMxLzIwMTUJAAAAATA0ZUUrAbHeCEq6uz4Bsd4IL0NJUS5OQVNEQVFHUzpJUS5JUV9FQklULkZZMjAxNi4zMS8xMi8yMDI1Li4uVVNEAQAAAMIo5QUCAAAACy0zNzEuMTgzNDI2AQgAAAAFAAAAATEBAAAACjE5NDk4MTczMTMDAAAAAzE2MAIAAAADNDAwBAAAAAEwBwAAAAoxMi8zMS8yMDI1CAAAAAoxMi8zMS8yMDE2CQAAAAEwNGVFKwGx3ghKurs+AbHeCC9DSVEuTkFTREFRR1M6SVEuSVFfRUJJVC5GWTIwMTcuMzEvMTIvMjAyNS4uLlVTRAEAAADCKOUFAgAAAAstNTQ3LjU1NDY3NAEIAAAABQAAAAExAQAAAAoyMDIxNTgxNDYzAwAAAAMxNjACAAAAAzQwMAQAAAABMAcAAAAKMTIvMzEvMjAyNQgAAAAKMTIvMzEvMjAxNwkAAAABMDRlRSsBsd4ISrq7PgGx3ggvQ0lRLk5BU0RBUUdTOklRLklRX0VCSVQuRlkyMDE4LjMxLzEyLzIwMjUuLi5VU0QBAAAAwijlBQIAAAAMLTEyMDcuNzA1NDg0AQgAAAAFAAAAATEBAAAACjIwODM2ODExMzQDAAAAAzE2MAIAAAADNDAwBAAAAAEwBwAAAAoxMi8zMS8yMDI1CAAAAAoxMi8zMS8yMDE4CQAAAAEwNGVFKwGx3ghKurs+AbHeCC9DSVEu</t>
  </si>
  <si>
    <t>TkFTREFRR1M6SVEuSVFfRUJJVC5GWTIwMTkuMzEvMTIvMjAyNS4uLlVTRAEAAADCKOUFAgAAAAwtMTMxNS4zNjI5OTYBCAAAAAUAAAABMQEAAAALLTIxMDY2MDQwOTkDAAAAAzE2MAIAAAADNDAwBAAAAAEwBwAAAAoxMi8zMS8yMDI1CAAAAAoxMi8zMS8yMDE5CQAAAAEwNGVFKwGx3ghKurs+AbHeCC9DSVEuTkFTREFRR1M6SVEuSVFfRUJJVC5GWTIwMjAuMzEvMTIvMjAyNS4uLlVTRAEAAADCKOUFAgAAAAstNzk5LjUwNjE3MgEIAAAABQAAAAExAQAAAAstMjA1NjA5MDMzNAMAAAADMTYwAgAAAAM0MDAEAAAAATAHAAAACjEyLzMxLzIwMjUIAAAACjEyLzMxLzIwMjAJAAAAATA0ZUUrAbHeCEq6uz4Bsd4IL0NJUS5OQVNEQVFHUzpJUS5JUV9FQklULkZZMjAyMS4zMS8xMi8yMDI1Li4uVVNEAQAAAMIo5QUCAAAACy02NTEuNjIwNzUzAQgAAAAFAAAAATEBAAAACy0yMDA2MTA5MTM2AwAAAAMxNjACAAAAAzQwMAQAAAABMAcAAAAKMTIvMzEvMjAyNQgAAAAKMTIvMzEvMjAyMQkAAAABMDRlRSsBsd4ISrq7PgGx3ggvQ0lRLk5BU0RBUUdTOklRLklRX0VCSVQuRlkyMDIyLjMxLzEyLzIwMjUuLi5VU0QBAAAAwijlBQIAAAAKMjAwLjA3MjQ5MwEIAAAABQAAAAExAQAAAAstMTk1NDA4MTE2NAMAAAADMTYwAgAAAAM0MDAEAAAAATAHAAAACjEyLzMxLzIwMjUIAAAACjEyLzMxLzIwMjIJAAAAATA0ZUUrAbHeCEq6</t>
  </si>
  <si>
    <t>uz4Bsd4IL0NJUS5OQVNEQVFHUzpJUS5JUV9FQklULkZZMjAyMy4zMS8xMi8yMDI1Li4uVVNEAQAAAMIo5QUCAAAACjQ1Ny4yOTA4OTUBCAAAAAUAAAABMQEAAAALLTE5NTQwODExNjMDAAAAAzE2MAIAAAADNDAwBAAAAAEwBwAAAAoxMi8zMS8yMDI1CAAAAAoxMi8zMS8yMDIzCQAAAAEwNGVFKwGx3ghKurs+AbHeCC9DSVEuTkFTREFRR1M6SVEuSVFfRUJJVC5GWTIwMjQuMzEvMTIvMjAyNS4uLlVTRAEAAADCKOUFAgAAAAoyNjEuMTkzODQ1AQgAAAAFAAAAATEBAAAACy0xOTU0MDgxMTYxAwAAAAMxNjACAAAAAzQwMAQAAAABMAcAAAAKMTIvMzEvMjAyNQgAAAAKMTIvMzEvMjAyNAkAAAABMDRlRSsBsd4ISrq7PgGx3ggvQ0lRLk5BU0RBUUdTOklRLklRX0VCSVQuRlkyMDI1LjMxLzEyLzIwMjUuLi5VU0QBAAAAwijlBQMAAAAAADRlRSsBsd4ISrq7PgGx3ggxQ0lRLk5BU0RBUUdTOkJJTEkuSVFfRUJJVC5GWTIwMTUuMzEvMTIvMjAyNS4uLlVTRAEAAAAiXGURAgAAAAotNTYuODE2Nzg5AQgAAAAFAAAAATEBAAAACjE4ODAwNDM2NDkDAAAAAzE2MAIAAAADNDAwBAAAAAEwBwAAAAoxMi8zMS8yMDI1CAAAAAoxMi8zMS8yMDE1CQAAAAEwNGVFKwGx3ghKurs+AbHeCDFDSVEuTkFTREFRR1M6QklMSS5JUV9FQklULkZZMjAxNi4zMS8xMi8yMDI1Li4uVVNEAQAAACJcZRECAAAACy0xMjguODU4NjI4AQgAAAAF</t>
  </si>
  <si>
    <t>AAAAATEBAAAACjE5NTE3MjE4MDMDAAAAAzE2MAIAAAADNDAwBAAAAAEwBwAAAAoxMi8zMS8yMDI1CAAAAAoxMi8zMS8yMDE2CQAAAAEwNGVFKwGx3ghKurs+AbHeCDFDSVEuTkFTREFRR1M6QklMSS5JUV9FQklULkZZMjAxNy4zMS8xMi8yMDI1Li4uVVNEAQAAACJcZRECAAAACi0zNC40Njc4NTYBCAAAAAUAAAABMQEAAAAKMjAyNDMwNDI3MwMAAAADMTYwAgAAAAM0MDAEAAAAATAHAAAACjEyLzMxLzIwMjUIAAAACjEyLzMxLzIwMTcJAAAAATA0ZUUrAbHeCEq6uz4Bsd4IMUNJUS5OQVNEQVFHUzpCSUxJLklRX0VCSVQuRlkyMDE4LjMxLzEyLzIwMjUuLi5VU0QBAAAAIlxlEQIAAAALLTEwNS45OTA4MTEBCAAAAAUAAAABMQEAAAAKMjA4MzI5OTcwMgMAAAADMTYwAgAAAAM0MDAEAAAAATAHAAAACjEyLzMxLzIwMjUIAAAACjEyLzMxLzIwMTgJAAAAATA0ZUUrAbHeCEq6uz4Bsd4IMUNJUS5OQVNEQVFHUzpCSUxJLklRX0VCSVQuRlkyMDE5LjMxLzEyLzIwMjUuLi5VU0QBAAAAIlxlEQIAAAALLTIxNC43MzQ1MjIBCAAAAAUAAAABMQEAAAALLTIxMDE1MDI0NTEDAAAAAzE2MAIAAAADNDAwBAAAAAEwBwAAAAoxMi8zMS8yMDI1CAAAAAoxMi8zMS8yMDE5CQAAAAEwNGVFKwGx3ghKurs+AbHeCDFDSVEuTkFTREFRR1M6QklMSS5JUV9FQklULkZZMjAyMC4zMS8xMi8yMDI1Li4uVVNEAQAAACJcZRECAAAACS00</t>
  </si>
  <si>
    <t>ODEuMTA4MgEIAAAABQAAAAExAQAAAAstMjA0OTAzMTYzMwMAAAADMTYwAgAAAAM0MDAEAAAAATAHAAAACjEyLzMxLzIwMjUIAAAACjEyLzMxLzIwMjAJAAAAATA0ZUUrAbHeCEq6uz4Bsd4IMUNJUS5OQVNEQVFHUzpCSUxJLklRX0VCSVQuRlkyMDIxLjMxLzEyLzIwMjUuLi5VU0QBAAAAIlxlEQIAAAAMLTEwMTIuMDM4MjE5AQgAAAAFAAAAATEBAAAACy0yMDAyMzk4NTU1AwAAAAMxNjACAAAAAzQwMAQAAAABMAcAAAAKMTIvMzEvMjAyNQgAAAAKMTIvMzEvMjAyMQkAAAABMDRlRSsBsd4ISrq7PgGx3ggxQ0lRLk5BU0RBUUdTOkJJTEkuSVFfRUJJVC5GWTIwMjIuMzEvMTIvMjAyNS4uLlVTRAEAAAAiXGURAgAAAAstMTIxMS43ODc5NwEIAAAABQAAAAExAQAAAAstMTk1NDQ4NDQ0MQMAAAADMTYwAgAAAAM0MDAEAAAAATAHAAAACjEyLzMxLzIwMjUIAAAACjEyLzMxLzIwMjIJAAAAATA0ZUUrAbHeCEq6uz4Bsd4IMUNJUS5OQVNEQVFHUzpCSUxJLklRX0VCSVQuRlkyMDIzLjMxLzEyLzIwMjUuLi5VU0QBAAAAIlxlEQIAAAALLTcxNC4xODExMzQBCAAAAAUAAAABMQEAAAALLTE5NTQ0ODQ0NDgDAAAAAzE2MAIAAAADNDAwBAAAAAEwBwAAAAoxMi8zMS8yMDI1CAAAAAoxMi8zMS8yMDIzCQAAAAEwNGVFKwGx3ghKurs+AbHeCDFDSVEuTkFTREFRR1M6QklMSS5JUV9FQklULkZZMjAyNC4zMS8xMi8yMDI1Li4u</t>
  </si>
  <si>
    <t>VVNEAQAAACJcZRECAAAACy0xODQuMTI4MDQzAQgAAAAFAAAAATEBAAAACy0xOTU0NDg0NDUyAwAAAAMxNjACAAAAAzQwMAQAAAABMAcAAAAKMTIvMzEvMjAyNQgAAAAKMTIvMzEvMjAyNAkAAAABMDRlRSsBsd4ISrq7PgGx3ggxQ0lRLk5BU0RBUUdTOkJJTEkuSVFfRUJJVC5GWTIwMjUuMzEvMTIvMjAyNS4uLlVTRAEAAAAiXGURAwAAAAAANGVFKwGx3ghKurs+AbHeCCxDSVEuTllTRTpESVMuSVFfRUJJVC5GWTIwMTUuMzEvMTIvMjAyNS4uLlVTRAEAAABM7AIAAgAAAAUxMzIyNAEIAAAABQAAAAExAQAAAAoxODY3Mjk4MDE4AwAAAAMxNjACAAAAAzQwMAQAAAABMAcAAAAKMTIvMzEvMjAyNQgAAAAJMTAvMy8yMDE1CQAAAAEwNGVFKwGx3ghKurs+AbHeCCxDSVEuTllTRTpESVMuSVFfRUJJVC5GWTIwMTYuMzEvMTIvMjAyNS4uLlVTRAEAAABM7AIAAgAAAAUxNDQ4NwEIAAAABQAAAAExAQAAAAoxOTI1Mjk1NDI5AwAAAAMxNjACAAAAAzQwMAQAAAABMAcAAAAKMTIvMzEvMjAyNQgAAAAJMTAvMS8yMDE2CQAAAAEwNGVFKwGx3ghDb7s+AbHeCCxDSVEuTllTRTpESVMuSVFfRUJJVC5GWTIwMTcuMzEvMTIvMjAyNS4uLlVTRAEAAABM7AIAAgAAAAUxMzg3MwEIAAAABQAAAAExAQAAAAoxOTkzODU5NDEzAwAAAAMxNjACAAAAAzQwMAQAAAABMAcAAAAKMTIvMzEvMjAyNQgAAAAJOS8zMC8yMDE3CQAAAAEwNGVF</t>
  </si>
  <si>
    <t>KwGx3ghDb7s+AbHeCCxDSVEuTllTRTpESVMuSVFfRUJJVC5GWTIwMTguMzEvMTIvMjAyNS4uLlVTRAEAAABM7AIAAgAAAAUxNDgzNwEIAAAABQAAAAExAQAAAAoyMDcyOTExNTI5AwAAAAMxNjACAAAAAzQwMAQAAAABMAcAAAAKMTIvMzEvMjAyNQgAAAAJOS8yOS8yMDE4CQAAAAEwNGVFKwGx3ghDb7s+AbHeCCxDSVEuTllTRTpESVMuSVFfRUJJVC5GWTIwMTkuMzEvMTIvMjAyNS4uLlVTRAEAAABM7AIAAgAAAAUxMjAzMAEIAAAABQAAAAExAQAAAAstMjExOTI5Mjk1MAMAAAADMTYwAgAAAAM0MDAEAAAAATAHAAAACjEyLzMxLzIwMjUIAAAACTkvMjgvMjAxOQkAAAABMDRlRSsBsd4IQ2+7PgGx3ggsQ0lRLk5ZU0U6RElTLklRX0VCSVQuRlkyMDIwLjMxLzEyLzIwMjUuLi5VU0QBAAAATOwCAAIAAAAEMzc4MQEIAAAABQAAAAExAQAAAAstMjA2Njc5Mjg2MwMAAAADMTYwAgAAAAM0MDAEAAAAATAHAAAACjEyLzMxLzIwMjUIAAAACTEwLzMvMjAyMAkAAAABMDRlRSsBsd4IQ2+7PgGx3ggsQ0lRLk5ZU0U6RElTLklRX0VCSVQuRlkyMDIxLjMxLzEyLzIwMjUuLi5VU0QBAAAATOwCAAIAAAAEMzQ5MgEIAAAABQAAAAExAQAAAAstMjAxNzUwODI1OAMAAAADMTYwAgAAAAM0MDAEAAAAATAHAAAACjEyLzMxLzIwMjUIAAAACTEwLzIvMjAyMQkAAAABMDRlRSsBsd4IQ2+7PgGx3ggsQ0lRLk5ZU0U6RElTLklRX0VC</t>
  </si>
  <si>
    <t>SVQuRlkyMDIyLjMxLzEyLzIwMjUuLi5VU0QBAAAATOwCAAIAAAAENjgzMgEIAAAABQAAAAExAQAAAAstMTk2OTAwNjM4NQMAAAADMTYwAgAAAAM0MDAEAAAAATAHAAAACjEyLzMxLzIwMjUIAAAACTEwLzEvMjAyMgkAAAABMDRlRSsBsd4IQ2+7PgGx3ggsQ0lRLk5ZU0U6RElTLklRX0VCSVQuRlkyMDIzLjMxLzEyLzIwMjUuLi5VU0QBAAAATOwCAAIAAAAEOTMzMgEIAAAABQAAAAExAQAAAAstMTkxNzAxNjExNgMAAAADMTYwAgAAAAM0MDAEAAAAATAHAAAACjEyLzMxLzIwMjUIAAAACTkvMzAvMjAyMwkAAAABMDRlRSsBsd4IQ2+7PgGx3ggsQ0lRLk5ZU0U6RElTLklRX0VCSVQuRlkyMDI0LjMxLzEyLzIwMjUuLi5VU0QBAAAATOwCAAIAAAAFMTIzMTgBCAAAAAUAAAABMQEAAAALLTE5MTcwMTYxMjgDAAAAAzE2MAIAAAADNDAwBAAAAAEwBwAAAAoxMi8zMS8yMDI1CAAAAAk5LzI4LzIwMjQJAAAAATA0ZUUrAbHeCENvuz4Bsd4ILENJUS5OWVNFOkRJUy5JUV9FQklULkZZMjAyNS4zMS8xMi8yMDI1Li4uVVNEAQAAAEzsAgACAAAABTE0MDkzAQgAAAAFAAAAATEBAAAACy0xOTE3MDE2MTUxAwAAAAMxNjACAAAAAzQwMAQAAAABMAcAAAAKMTIvMzEvMjAyNQgAAAAJOS8yNy8yMDI1CQAAAAEwNGVFKwGx3ghDb7s+AbHeCDBDSVEuTkFTREFRR1M6V0JELklRX0VCSVQuRlkyMDE1LjMxLzEyLzIwMjUuLi5VU0QB</t>
  </si>
  <si>
    <t>AAAAbdtZAQIAAAAEMjExMgEIAAAABQAAAAExAQAAAAoxODc3MjM2NzI5AwAAAAMxNjACAAAAAzQwMAQAAAABMAcAAAAKMTIvMzEvMjAyNQgAAAAKMTIvMzEvMjAxNQkAAAABMDRlRSsBsd4ISrq7PgGx3ggwQ0lRLk5BU0RBUUdTOldCRC5JUV9FQklULkZZMjAxNi4zMS8xMi8yMDI1Li4uVVNEAQAAAG3bWQECAAAABDIxMjIBCAAAAAUAAAABMQEAAAAKMTk0ODA5ODkxNAMAAAADMTYwAgAAAAM0MDAEAAAAATAHAAAACjEyLzMxLzIwMjUIAAAACjEyLzMxLzIwMTYJAAAAATA0ZUUrAbHeCEq6uz4Bsd4IMENJUS5OQVNEQVFHUzpXQkQuSVFfRUJJVC5GWTIwMTcuMzEvMTIvMjAyNS4uLlVTRAEAAABt21kBAgAAAAQyMjMwAQgAAAAFAAAAATEBAAAACjIwMTgxMDQ2MDEDAAAAAzE2MAIAAAADNDAwBAAAAAEwBwAAAAoxMi8zMS8yMDI1CAAAAAoxMi8zMS8yMDE3CQAAAAEwNGVFKwGx3ghKurs+AbHeCDBDSVEuTkFTREFRR1M6V0JELklRX0VCSVQuRlkyMDE4LjMxLzEyLzIwMjUuLi5VU0QBAAAAbdtZAQIAAAAEMjczNQEIAAAABQAAAAExAQAAAAoyMDgxMzAyMzYzAwAAAAMxNjACAAAAAzQwMAQAAAABMAcAAAAKMTIvMzEvMjAyNQgAAAAKMTIvMzEvMjAxOAkAAAABMDRlRSsBsd4ISrq7PgGx3ggwQ0lRLk5BU0RBUUdTOldCRC5JUV9FQklULkZZMjAxOS4zMS8xMi8yMDI1Li4uVVNEAQAAAG3bWQECAAAABDMyODMB</t>
  </si>
  <si>
    <t>CAAAAAUAAAABMQEAAAALLTIxMTA2Nzc4NjADAAAAAzE2MAIAAAADNDAwBAAAAAEwBwAAAAoxMi8zMS8yMDI1CAAAAAoxMi8zMS8yMDE5CQAAAAEwNGVFKwGx3ghKurs+AbHeCDBDSVEuTkFTREFRR1M6V0JELklRX0VCSVQuRlkyMDIwLjMxLzEyLzIwMjUuLi5VU0QBAAAAbdtZAQIAAAAEMjc4NAEIAAAABQAAAAExAQAAAAstMjA1OTY0OTg4NgMAAAADMTYwAgAAAAM0MDAEAAAAATAHAAAACjEyLzMxLzIwMjUIAAAACjEyLzMxLzIwMjAJAAAAATA0ZUUrAbHeCEq6uz4Bsd4IMENJUS5OQVNEQVFHUzpXQkQuSVFfRUJJVC5GWTIwMjEuMzEvMTIvMjAyNS4uLlVTRAEAAABt21kBAgAAAAQyMDczAQgAAAAFAAAAATEBAAAACy0yMDA4ODY3Nzk0AwAAAAMxNjACAAAAAzQwMAQAAAABMAcAAAAKMTIvMzEvMjAyNQgAAAAKMTIvMzEvMjAyMQkAAAABMDRlRSsBsd4ISrq7PgGx3ggwQ0lRLk5BU0RBUUdTOldCRC5JUV9FQklULkZZMjAyMi4zMS8xMi8yMDI1Li4uVVNEAQAAAG3bWQECAAAABS0yMjUwAQgAAAAFAAAAATEBAAAACy0xOTU3NDYxOTExAwAAAAMxNjACAAAAAzQwMAQAAAABMAcAAAAKMTIvMzEvMjAyNQgAAAAKMTIvMzEvMjAyMgkAAAABMDRlRSsBsd4ISrq7PgGx3ggwQ0lRLk5BU0RBUUdTOldCRC5JUV9FQklULkZZMjAyMy4zMS8xMi8yMDI1Li4uVVNEAQAAAG3bWQECAAAABC01NzYBCAAAAAUAAAABMQEA</t>
  </si>
  <si>
    <t>AAALLTE5NTc0NjE5NTYDAAAAAzE2MAIAAAADNDAwBAAAAAEwBwAAAAoxMi8zMS8yMDI1CAAAAAoxMi8zMS8yMDIzCQAAAAEwNGVFKwGx3ghKurs+AbHeCDBDSVEuTkFTREFRR1M6V0JELklRX0VCSVQuRlkyMDI0LjMxLzEyLzIwMjUuLi5VU0QBAAAAbdtZAQIAAAADNjM0AQgAAAAFAAAAATEBAAAACy0xOTU3NDYxOTUzAwAAAAMxNjACAAAAAzQwMAQAAAABMAcAAAAKMTIvMzEvMjAyNQgAAAAKMTIvMzEvMjAyNAkAAAABMDRlRSsBsd4ISrq7PgGx3ggwQ0lRLk5BU0RBUUdTOldCRC5JUV9FQklULkZZMjAyNS4zMS8xMi8yMDI1Li4uVVNEAQAAAG3bWQEDAAAAAAA0ZUUrAbHeCEq6uz4Bsd4IMUNJUS5OQVNEQVFHUzpQU0tZLklRX0VCSVQuRlkyMDE1LjMxLzEyLzIwMjUuLi5VU0QBAAAAH6KnAQIAAAAEMjU2NAEIAAAABQAAAAExAQAAAAoxODc1MTk2MjY4AwAAAAMxNjACAAAAAzQwMAQAAAABMAcAAAAKMTIvMzEvMjAyNQgAAAAKMTIvMzEvMjAxNQkAAAABMDRlRSsBsd4ISrq7PgGx3ggxQ0lRLk5BU0RBUUdTOlBTS1kuSVFfRUJJVC5GWTIwMTYuMzEvMTIvMjAyNS4uLlVTRAEAAAAfoqcBAgAAAAQyODUyAQgAAAAFAAAAATEBAAAACjE5NDUyNzY4NDkDAAAAAzE2MAIAAAADNDAwBAAAAAEwBwAAAAoxMi8zMS8yMDI1CAAAAAoxMi8zMS8yMDE2CQAAAAEwNGVFKwGx3ghKurs+AbHeCDFDSVEuTkFTREFRR1M6</t>
  </si>
  <si>
    <t>UFNLWS5JUV9FQklULkZZMjAxNy4zMS8xMi8yMDI1Li4uVVNEAQAAAB+ipwECAAAABDUzNTcBCAAAAAUAAAABMQEAAAAKMjAxNjIzMTc1MgMAAAADMTYwAgAAAAM0MDAEAAAAATAHAAAACjEyLzMxLzIwMjUIAAAACjEyLzMxLzIwMTcJAAAAATA0ZUUrAbHeCEq6uz4Bsd4IMUNJUS5OQVNEQVFHUzpQU0tZLklRX0VCSVQuRlkyMDE4LjMxLzEyLzIwMjUuLi5VU0QBAAAAH6KnAQIAAAAENTQ4NgEIAAAABQAAAAExAQAAAAoyMDgxNTg0OTM3AwAAAAMxNjACAAAAAzQwMAQAAAABMAcAAAAKMTIvMzEvMjAyNQgAAAAKMTIvMzEvMjAxOAkAAAABMDRlRSsBsd4ISrq7PgGx3ggxQ0lRLk5BU0RBUUdTOlBTS1kuSVFfRUJJVC5GWTIwMTkuMzEvMTIvMjAyNS4uLlVTRAEAAAAfoqcBAgAAAAQ0ODc2AQgAAAAFAAAAATEBAAAACy0yMTEyMTg2NDE0AwAAAAMxNjACAAAAAzQwMAQAAAABMAcAAAAKMTIvMzEvMjAyNQgAAAAKMTIvMzEvMjAxOQkAAAABMDRlRSsBsd4ISrq7PgGx3ggxQ0lRLk5BU0RBUUdTOlBTS1kuSVFfRUJJVC5GWTIwMjAuMzEvMTIvMjAyNS4uLlVTRAEAAAAfoqcBAgAAAAQ0NjY1AQgAAAAFAAAAATEBAAAACy0yMDYwNzE1ODk5AwAAAAMxNjACAAAAAzQwMAQAAAABMAcAAAAKMTIvMzEvMjAyNQgAAAAKMTIvMzEvMjAyMAkAAAABMDRlRSsBsd4ISrq7PgGx3ggxQ0lRLk5BU0RBUUdTOlBTS1kuSVFfRUJJ</t>
  </si>
  <si>
    <t>VC5GWTIwMjEuMzEvMTIvMjAyNS4uLlVTRAEAAAAfoqcBAgAAAAQ0MDAxAQgAAAAFAAAAATEBAAAACy0yMDA4MTkwNjY3AwAAAAMxNjACAAAAAzQwMAQAAAABMAcAAAAKMTIvMzEvMjAyNQgAAAAKMTIvMzEvMjAyMQkAAAABMDRlRSsBsd4ISrq7PgGx3ggxQ0lRLk5BU0RBUUdTOlBTS1kuSVFfRUJJVC5GWTIwMjIuMzEvMTIvMjAyNS4uLlVTRAEAAAAfoqcBAgAAAAQyODMzAQgAAAAFAAAAATEBAAAACy0xOTU4MTY4NzgwAwAAAAMxNjACAAAAAzQwMAQAAAABMAcAAAAKMTIvMzEvMjAyNQgAAAAKMTIvMzEvMjAyMgkAAAABMDRlRSsBsd4ISrq7PgGx3ggxQ0lRLk5BU0RBUUdTOlBTS1kuSVFfRUJJVC5GWTIwMjMuMzEvMTIvMjAyNS4uLlVTRAEAAAAfoqcBAgAAAAQxODU1AQgAAAAFAAAAATEBAAAACy0xOTU4MTY4Nzc5AwAAAAMxNjACAAAAAzQwMAQAAAABMAcAAAAKMTIvMzEvMjAyNQgAAAAKMTIvMzEvMjAyMwkAAAABMDRlRSsBsd4ISrq7PgGx3ggxQ0lRLk5BU0RBUUdTOlBTS1kuSVFfRUJJVC5GWTIwMjQuMzEvMTIvMjAyNS4uLlVTRAEAAAAfoqcBAgAAAAQyNTI1AQgAAAAFAAAAATEBAAAACy0xOTU4MTY4Nzc4AwAAAAMxNjACAAAAAzQwMAQAAAABMAcAAAAKMTIvMzEvMjAyNQgAAAAKMTIvMzEvMjAyNAkAAAABMDRlRSsBsd4ISrq7PgGx3ggxQ0lRLk5BU0RBUUdTOlBTS1kuSVFfRUJJVC5GWTIwMjUu</t>
  </si>
  <si>
    <t>MzEvMTIvMjAyNS4uLlVTRAEAAAAfoqcBAwAAAAAANGVFKwGx3ghKurs+AbHeCDJDSVEuTkFTREFRR1M6Q01DU0EuSVFfRUJJVC5GWTIwMTUuMzEvMTIvMjAyNS4uLlVTRAEAAAAdpQIAAgAAAAUxNTk5OAEIAAAABQAAAAExAQAAAAoxODcyNzkyNDEyAwAAAAMxNjACAAAAAzQwMAQAAAABMAcAAAAKMTIvMzEvMjAyNQgAAAAKMTIvMzEvMjAxNQkAAAABMDRlRSsBsd4ISrq7PgGx3ggyQ0lRLk5BU0RBUUdTOkNNQ1NBLklRX0VCSVQuRlkyMDE2LjMxLzEyLzIwMjUuLi5VU0QBAAAAHaUCAAIAAAAFMTY4OTIBCAAAAAUAAAABMQEAAAAKMTk0MzQyOTg3NwMAAAADMTYwAgAAAAM0MDAEAAAAATAHAAAACjEyLzMxLzIwMjUIAAAACjEyLzMxLzIwMTYJAAAAATA0ZUUrAbHeCEq6uz4Bsd4IMkNJUS5OQVNEQVFHUzpDTUNTQS5JUV9FQklULkZZMjAxNy4zMS8xMi8yMDI1Li4uVVNEAQAAAB2lAgACAAAABTE3NTc2AQgAAAAFAAAAATEBAAAACjIwMDM4Nzc4MDUDAAAAAzE2MAIAAAADNDAwBAAAAAEwBwAAAAoxMi8zMS8yMDI1CAAAAAoxMi8zMS8yMDE3CQAAAAEwNGVFKwGx3ghKurs+AbHeCDJDSVEuTkFTREFRR1M6Q01DU0EuSVFfRUJJVC5GWTIwMTguMzEvMTIvMjAyNS4uLlVTRAEAAAAdpQIAAgAAAAUxOTE0OAEIAAAABQAAAAExAQAAAAoyMDc4ODMwMjczAwAAAAMxNjACAAAAAzQwMAQAAAABMAcAAAAKMTIvMzEv</t>
  </si>
  <si>
    <t>MjAyNQgAAAAKMTIvMzEvMjAxOAkAAAABMDRlRSsBsd4ISrq7PgGx3ggyQ0lRLk5BU0RBUUdTOkNNQ1NBLklRX0VCSVQuRlkyMDE5LjMxLzEyLzIwMjUuLi5VU0QBAAAAHaUCAAIAAAAFMjExMjUBCAAAAAUAAAABMQEAAAALLTIxMTQwMDg5ODgDAAAAAzE2MAIAAAADNDAwBAAAAAEwBwAAAAoxMi8zMS8yMDI1CAAAAAoxMi8zMS8yMDE5CQAAAAEwNGVFKwGx3ghKurs+AbHeCDJDSVEuTkFTREFRR1M6Q01DU0EuSVFfRUJJVC5GWTIwMjAuMzEvMTIvMjAyNS4uLlVTRAEAAAAdpQIAAgAAAAUxNzQ5MwEIAAAABQAAAAExAQAAAAstMjA2MjM4MjQ5MwMAAAADMTYwAgAAAAM0MDAEAAAAATAHAAAACjEyLzMxLzIwMjUIAAAACjEyLzMxLzIwMjAJAAAAATA0ZUUrAbHeCEq6uz4Bsd4IMkNJUS5OQVNEQVFHUzpDTUNTQS5JUV9FQklULkZZMjAyMS4zMS8xMi8yMDI1Li4uVVNEAQAAAB2lAgACAAAABTIwODE3AQgAAAAFAAAAATEBAAAACy0yMDEyMDI3MTM2AwAAAAMxNjACAAAAAzQwMAQAAAABMAcAAAAKMTIvMzEvMjAyNQgAAAAKMTIvMzEvMjAyMQkAAAABMDRlRSsBsd4ISrq7PgGx3ggyQ0lRLk5BU0RBUUdTOkNNQ1NBLklRX0VCSVQuRlkyMDIyLjMxLzEyLzIwMjUuLi5VU0QBAAAAHaUCAAIAAAAFMjI2MjQBCAAAAAUAAAABMQEAAAALLTE5NjEzNTY4OTEDAAAAAzE2MAIAAAADNDAwBAAAAAEwBwAAAAoxMi8zMS8y</t>
  </si>
  <si>
    <t>MDI1CAAAAAoxMi8zMS8yMDIyCQAAAAEwNGVFKwGx3ghKurs+AbHeCDJDSVEuTkFTREFRR1M6Q01DU0EuSVFfRUJJVC5GWTIwMjMuMzEvMTIvMjAyNS4uLlVTRAEAAAAdpQIAAgAAAAUyMzMxMwEIAAAABQAAAAExAQAAAAstMTk2MTM1Njg5MgMAAAADMTYwAgAAAAM0MDAEAAAAATAHAAAACjEyLzMxLzIwMjUIAAAACjEyLzMxLzIwMjMJAAAAATA0ZUUrAbHeCEq6uz4Bsd4IMkNJUS5OQVNEQVFHUzpDTUNTQS5JUV9FQklULkZZMjAyNC4zMS8xMi8yMDI1Li4uVVNEAQAAAB2lAgACAAAABTIzMjk4AQgAAAAFAAAAATEBAAAACy0xOTYxMzU2OTA5AwAAAAMxNjACAAAAAzQwMAQAAAABMAcAAAAKMTIvMzEvMjAyNQgAAAAKMTIvMzEvMjAyNAkAAAABMDRlRSsBsd4ISrq7PgGx3ggyQ0lRLk5BU0RBUUdTOkNNQ1NBLklRX0VCSVQuRlkyMDI1LjMxLzEyLzIwMjUuLi5VU0QBAAAAHaUCAAMAAAAAADRlRSsBsd4ISrq7PgGx3gg+Q0lRLk5BU0RBUUdTOk5GTFguSVFfUkVUVVJOX0lOVkVTVEVEX0NBUElUQUwuRlkyMDE1LjMxLzEyLzIwMjUBAAAADH0AAAIAAAAGMy4zNDI0ADRlRSsBsd4IvQy5PgGx3gg+Q0lRLk5BU0RBUUdTOk5GTFguSVFfUkVUVVJOX0lOVkVTVEVEX0NBUElUQUwuRlkyMDE2LjMxLzEyLzIwMjUBAAAADH0AAAIAAAAGMy41MDkzADRlRSsBsd4IvQy5PgGx3gg+Q0lRLk5BU0RBUUdTOk5GTFguSVFf</t>
  </si>
  <si>
    <t>UkVUVVJOX0lOVkVTVEVEX0NBUElUQUwuRlkyMDE3LjMxLzEyLzIwMjUBAAAADH0AAAIAAAAGNi45MzIyADRlRSsBsd4IvQy5PgGx3gg+Q0lRLk5BU0RBUUdTOk5GTFguSVFfUkVUVVJOX0lOVkVTVEVEX0NBUElUQUwuRlkyMDE4LjMxLzEyLzIwMjUBAAAADH0AAAIAAAAGOS40MzMyADRlRSsBsd4IvQy5PgGx3gg+Q0lRLk5BU0RBUUdTOk5GTFguSVFfUkVUVVJOX0lOVkVTVEVEX0NBUElUQUwuRlkyMDE5LjMxLzEyLzIwMjUBAAAADH0AAAIAAAAGOS40Mzk5ADRlRSsBsd4IvQy5PgGx3gg+Q0lRLk5BU0RBUUdTOk5GTFguSVFfUkVUVVJOX0lOVkVTVEVEX0NBUElUQUwuRlkyMDIwLjMxLzEyLzIwMjUBAAAADH0AAAIAAAAGMTAuMzE3ADRlRSsBsd4IvQy5PgGx3gg+Q0lRLk5BU0RBUUdTOk5GTFguSVFfUkVUVVJOX0lOVkVTVEVEX0NBUElUQUwuRlkyMDIxLjMxLzEyLzIwMjUBAAAADH0AAAIAAAAHMTYuMTAzNAA0ZUUrAbHeCL0MuT4Bsd4IPkNJUS5OQVNEQVFHUzpORkxYLklRX1JFVFVSTl9JTlZFU1RFRF9DQVBJVEFMLkZZMjAyMi4zMS8xMi8yMDI1AQAAAAx9AAACAAAABzEyLjUzNDEANGVFKwGx3gi9DLk+AbHeCD5DSVEuTkFTREFRR1M6TkZMWC5JUV9SRVRVUk5fSU5WRVNURURfQ0FQSVRBTC5GWTIwMjMuMzEvMTIvMjAyNQEAAAAMfQAAAgAAAAcxNC4zNjk0ADRlRSsBsd4IvQy5PgGx3gg+Q0lRLk5B</t>
  </si>
  <si>
    <t>U0RBUUdTOk5GTFguSVFfUkVUVVJOX0lOVkVTVEVEX0NBUElUQUwuRlkyMDI0LjMxLzEyLzIwMjUBAAAADH0AAAIAAAAHMjEuNjk3NgA0ZUUrAbHeCL0MuT4Bsd4IPkNJUS5OQVNEQVFHUzpORkxYLklRX1JFVFVSTl9JTlZFU1RFRF9DQVBJVEFMLkZZMjAyNS4zMS8xMi8yMDI1AQAAAAx9AAADAAAAAAA0ZUUrAbHeCL0MuT4Bsd4IOkNJUS5OWVNFOlNQT1QuSVFfUkVUVVJOX0lOVkVTVEVEX0NBUElUQUwuRlkyMDE1LjMxLzEyLzIwMjUBAAAAxU5yDQMAAAAAADRlRSsBsd4IvQy5PgGx3gg6Q0lRLk5ZU0U6U1BPVC5JUV9SRVRVUk5fSU5WRVNURURfQ0FQSVRBTC5GWTIwMTYuMzEvMTIvMjAyNQEAAADFTnINAgAAAAgtOTcuOTEwOQA0ZUUrAbHeCL0MuT4Bsd4IOkNJUS5OWVNFOlNQT1QuSVFfUkVUVVJOX0lOVkVTVEVEX0NBUElUQUwuRlkyMDE3LjMxLzEyLzIwMjUBAAAAxU5yDQIAAAAJLTEyMC4yNTMxADRlRSsBsd4IvQy5PgGx3gg6Q0lRLk5ZU0U6U1BPVC5JUV9SRVRVUk5fSU5WRVNURURfQ0FQSVRBTC5GWTIwMTguMzEvMTIvMjAyNQEAAADFTnINAgAAAActNC43NjE5ADRlRSsBsd4IvQy5PgGx3gg6Q0lRLk5ZU0U6U1BPVC5JUV9SRVRVUk5fSU5WRVNURURfQ0FQSVRBTC5GWTIwMTkuMzEvMTIvMjAyNQEAAADFTnINAgAAAActNy44MjY2ADRlRSsBsd4IvQy5PgGx3gg6Q0lRLk5ZU0U6U1BPVC5JUV9S</t>
  </si>
  <si>
    <t>RVRVUk5fSU5WRVNURURfQ0FQSVRBTC5GWTIwMjAuMzEvMTIvMjAyNQEAAADFTnINAgAAAActMTkuMTM3ADRlRSsBsd4IvQy5PgGx3gg6Q0lRLk5ZU0U6U1BPVC5JUV9SRVRVUk5fSU5WRVNURURfQ0FQSVRBTC5GWTIwMjEuMzEvMTIvMjAyNQEAAADFTnINAgAAAActMC45MjQyADRlRSsBsd4IvQy5PgGx3gg6Q0lRLk5ZU0U6U1BPVC5JUV9SRVRVUk5fSU5WRVNURURfQ0FQSVRBTC5GWTIwMjIuMzEvMTIvMjAyNQEAAADFTnINAgAAAAgtMTAuNjM1NgA0ZUUrAbHeCL0MuT4Bsd4IOkNJUS5OWVNFOlNQT1QuSVFfUkVUVVJOX0lOVkVTVEVEX0NBUElUQUwuRlkyMDIzLjMxLzEyLzIwMjUBAAAAxU5yDQIAAAAILTEyLjYyNzUANGVFKwGx3gi9DLk+AbHeCDpDSVEuTllTRTpTUE9ULklRX1JFVFVSTl9JTlZFU1RFRF9DQVBJVEFMLkZZMjAyNC4zMS8xMi8yMDI1AQAAAMVOcg0CAAAABzE5LjE1MDEANGVFKwGx3gi9DLk+AbHeCDpDSVEuTllTRTpTUE9ULklRX1JFVFVSTl9JTlZFU1RFRF9DQVBJVEFMLkZZMjAyNS4zMS8xMi8yMDI1AQAAAMVOcg0DAAAAAAA0ZUUrAbHeCL0MuT4Bsd4IPkNJUS5OQVNEQVFHUzpST0tVLklRX1JFVFVSTl9JTlZFU1RFRF9DQVBJVEFMLkZZMjAxNS4zMS8xMi8yMDI1AQAAAEmahAADAAAAAAA0ZUUrAbHeCL0MuT4Bsd4IPkNJUS5OQVNEQVFHUzpST0tVLklRX1JFVFVSTl9JTlZFU1RF</t>
  </si>
  <si>
    <t>RF9DQVBJVEFMLkZZMjAxNi4zMS8xMi8yMDI1AQAAAEmahAACAAAACC02OS4xNDk2ADRlRSsBsd4IvQy5PgGx3gg+Q0lRLk5BU0RBUUdTOlJPS1UuSVFfUkVUVVJOX0lOVkVTVEVEX0NBUElUQUwuRlkyMDE3LjMxLzEyLzIwMjUBAAAASZqEAAIAAAAILTY0LjU5OTEANGVFKwGx3gi9DLk+AbHeCD5DSVEuTkFTREFRR1M6Uk9LVS5JUV9SRVRVUk5fSU5WRVNURURfQ0FQSVRBTC5GWTIwMTguMzEvMTIvMjAyNQEAAABJmoQAAgAAAActNC40NjI3ADRlRSsBsd4IvQy5PgGx3gg+Q0lRLk5BU0RBUUdTOlJPS1UuSVFfUkVUVVJOX0lOVkVTVEVEX0NBUElUQUwuRlkyMDE5LjMxLzEyLzIwMjUBAAAASZqEAAIAAAAHLTguNzk5NQA0ZUUrAbHeCL0MuT4Bsd4IPkNJUS5OQVNEQVFHUzpST0tVLklRX1JFVFVSTl9JTlZFU1RFRF9DQVBJVEFMLkZZMjAyMC4zMS8xMi8yMDI1AQAAAEmahAACAAAABi0xLjIxNAA0ZUUrAbHeCL0MuT4Bsd4IPkNJUS5OQVNEQVFHUzpST0tVLklRX1JFVFVSTl9JTlZFU1RFRF9DQVBJVEFMLkZZMjAyMS4zMS8xMi8yMDI1AQAAAEmahAACAAAABjkuNTkwNQA0ZUUrAbHeCL0MuT4Bsd4IPkNJUS5OQVNEQVFHUzpST0tVLklRX1JFVFVSTl9JTlZFU1RFRF9DQVBJVEFMLkZZMjAyMi4zMS8xMi8yMDI1AQAAAEmahAACAAAACC0xNC45NjgxADRlRSsBsd4IvQy5PgGx3gg+Q0lRLk5BU0RBUUdTOlJP</t>
  </si>
  <si>
    <t>S1UuSVFfUkVUVVJOX0lOVkVTVEVEX0NBUElUQUwuRlkyMDIzLjMxLzEyLzIwMjUBAAAASZqEAAIAAAAILTIyLjM2MDcANGVFKwGx3gi9DLk+AbHeCD5DSVEuTkFTREFRR1M6Uk9LVS5JUV9SRVRVUk5fSU5WRVNURURfQ0FQSVRBTC5GWTIwMjQuMzEvMTIvMjAyNQEAAABJmoQAAgAAAActNC4yNjY0ADRlRSsBsd4IvQy5PgGx3gg+Q0lRLk5BU0RBUUdTOlJPS1UuSVFfUkVUVVJOX0lOVkVTVEVEX0NBUElUQUwuRlkyMDI1LjMxLzEyLzIwMjUBAAAASZqEAAMAAAAAADRlRSsBsd4IvQy5PgGx3gg8Q0lRLk5BU0RBUUdTOklRLklRX1JFVFVSTl9JTlZFU1RFRF9DQVBJVEFMLkZZMjAxNS4zMS8xMi8yMDI1AQAAAMIo5QUDAAAAAAA0ZUUrAbHeCENvuz4Bsd4IPENJUS5OQVNEQVFHUzpJUS5JUV9SRVRVUk5fSU5WRVNURURfQ0FQSVRBTC5GWTIwMTYuMzEvMTIvMjAyNQEAAADCKOUFAgAAAAgtNDkuNjE0NwA0ZUUrAbHeCENvuz4Bsd4IPENJUS5OQVNEQVFHUzpJUS5JUV9SRVRVUk5fSU5WRVNURURfQ0FQSVRBTC5GWTIwMTcuMzEvMTIvMjAyNQEAAADCKOUFAgAAAAgtNDguMzk4NAA0ZUUrAbHeCENvuz4Bsd4IPENJUS5OQVNEQVFHUzpJUS5JUV9SRVRVUk5fSU5WRVNURURfQ0FQSVRBTC5GWTIwMTguMzEvMTIvMjAyNQEAAADCKOUFAgAAAAgtNTAuMjM1NgA0ZUUrAbHeCL0MuT4Bsd4IPENJUS5OQVNEQVFHUzpJ</t>
  </si>
  <si>
    <t>US5JUV9SRVRVUk5fSU5WRVNURURfQ0FQSVRBTC5GWTIwMTkuMzEvMTIvMjAyNQEAAADCKOUFAgAAAAgtMzcuNjU4MwA0ZUUrAbHeCL0MuT4Bsd4IPENJUS5OQVNEQVFHUzpJUS5JUV9SRVRVUk5fSU5WRVNURURfQ0FQSVRBTC5GWTIwMjAuMzEvMTIvMjAyNQEAAADCKOUFAgAAAAgtMjMuODA2NwA0ZUUrAbHeCL0MuT4Bsd4IPENJUS5OQVNEQVFHUzpJUS5JUV9SRVRVUk5fSU5WRVNURURfQ0FQSVRBTC5GWTIwMjEuMzEvMTIvMjAyNQEAAADCKOUFAgAAAAgtMjIuMjE2OQA0ZUUrAbHeCL0MuT4Bsd4IPENJUS5OQVNEQVFHUzpJUS5JUV9SRVRVUk5fSU5WRVNURURfQ0FQSVRBTC5GWTIwMjIuMzEvMTIvMjAyNQEAAADCKOUFAgAAAActMC41MTQ0ADRlRSsBsd4IvQy5PgGx3gg8Q0lRLk5BU0RBUUdTOklRLklRX1JFVFVSTl9JTlZFU1RFRF9DQVBJVEFMLkZZMjAyMy4zMS8xMi8yMDI1AQAAAMIo5QUCAAAABjYuODI1NAA0ZUUrAbHeCL0MuT4Bsd4IPENJUS5OQVNEQVFHUzpJUS5JUV9SRVRVUk5fSU5WRVNURURfQ0FQSVRBTC5GWTIwMjQuMzEvMTIvMjAyNQEAAADCKOUFAgAAAAYyLjc3NTEANGVFKwGx3gi9DLk+AbHeCDxDSVEuTkFTREFRR1M6SVEuSVFfUkVUVVJOX0lOVkVTVEVEX0NBUElUQUwuRlkyMDI1LjMxLzEyLzIwMjUBAAAAwijlBQMAAAAAADRlRSsBsd4IvQy5PgGx3gg+Q0lRLk5BU0RBUUdTOkJJ</t>
  </si>
  <si>
    <t>TEkuSVFfUkVUVVJOX0lOVkVTVEVEX0NBUElUQUwuRlkyMDE1LjMxLzEyLzIwMjUBAAAAIlxlEQMAAAAAADRlRSsBsd4IvQy5PgGx3gg+Q0lRLk5BU0RBUUdTOkJJTEkuSVFfUkVUVVJOX0lOVkVTVEVEX0NBUElUQUwuRlkyMDE2LjMxLzEyLzIwMjUBAAAAIlxlEQIAAAAILTk4Ljg3MTYANGVFKwGx3gi9DLk+AbHeCD5DSVEuTkFTREFRR1M6QklMSS5JUV9SRVRVUk5fSU5WRVNURURfQ0FQSVRBTC5GWTIwMTcuMzEvMTIvMjAyNQEAAAAiXGURAgAAAAgtMzEuNjI4NAA0ZUUrAbHeCL0MuT4Bsd4IPkNJUS5OQVNEQVFHUzpCSUxJLklRX1JFVFVSTl9JTlZFU1RFRF9DQVBJVEFMLkZZMjAxOC4zMS8xMi8yMDI1AQAAACJcZRECAAAACC0xMy4zMDE4ADRlRSsBsd4IvQy5PgGx3gg+Q0lRLk5BU0RBUUdTOkJJTEkuSVFfUkVUVVJOX0lOVkVTVEVEX0NBUElUQUwuRlkyMDE5LjMxLzEyLzIwMjUBAAAAIlxlEQIAAAAILTE0LjA1NzcANGVFKwGx3gi9DLk+AbHeCD5DSVEuTkFTREFRR1M6QklMSS5JUV9SRVRVUk5fSU5WRVNURURfQ0FQSVRBTC5GWTIwMjAuMzEvMTIvMjAyNQEAAAAiXGURAgAAAAgtMjEuODg2OQA0ZUUrAbHeCL0MuT4Bsd4IPkNJUS5OQVNEQVFHUzpCSUxJLklRX1JFVFVSTl9JTlZFU1RFRF9DQVBJVEFMLkZZMjAyMS4zMS8xMi8yMDI1AQAAACJcZRECAAAACC0yMy42OTE5ADRlRSsBsd4IvQy5PgGx</t>
  </si>
  <si>
    <t>3gg+Q0lRLk5BU0RBUUdTOkJJTEkuSVFfUkVUVVJOX0lOVkVTVEVEX0NBUElUQUwuRlkyMDIyLjMxLzEyLzIwMjUBAAAAIlxlEQIAAAAILTIwLjkwNTgANGVFKwGx3gi9DLk+AbHeCD5DSVEuTkFTREFRR1M6QklMSS5JUV9SRVRVUk5fSU5WRVNURURfQ0FQSVRBTC5GWTIwMjMuMzEvMTIvMjAyNQEAAAAiXGURAgAAAAgtMTguMjU1MwA0ZUUrAbHeCL0MuT4Bsd4IPkNJUS5OQVNEQVFHUzpCSUxJLklRX1JFVFVSTl9JTlZFU1RFRF9DQVBJVEFMLkZZMjAyNC4zMS8xMi8yMDI1AQAAACJcZRECAAAABi02LjUyMgA0ZUUrAbHeCL0MuT4Bsd4IPkNJUS5OQVNEQVFHUzpCSUxJLklRX1JFVFVSTl9JTlZFU1RFRF9DQVBJVEFMLkZZMjAyNS4zMS8xMi8yMDI1AQAAACJcZREDAAAAAAA0ZUUrAbHeCL0MuT4Bsd4IOUNJUS5OWVNFOkRJUy5JUV9SRVRVUk5fSU5WRVNURURfQ0FQSVRBTC5GWTIwMTUuMzEvMTIvMjAyNQEAAABM7AIAAgAAAAY4LjI0ODgANGVFKwGx3gi9DLk+AbHeCDlDSVEuTllTRTpESVMuSVFfUkVUVVJOX0lOVkVTVEVEX0NBUElUQUwuRlkyMDE2LjMxLzEyLzIwMjUBAAAATOwCAAIAAAAGMTAuNjA1ADRlRSsBsd4IvQy5PgGx3gg5Q0lRLk5ZU0U6RElTLklRX1JFVFVSTl9JTlZFU1RFRF9DQVBJVEFMLkZZMjAxNy4zMS8xMi8yMDI1AQAAAEzsAgACAAAABjkuNDA3MgA0ZUUrAbHeCL0MuT4Bsd4IOUNJ</t>
  </si>
  <si>
    <t>US5OWVNFOkRJUy5JUV9SRVRVUk5fSU5WRVNURURfQ0FQSVRBTC5GWTIwMTguMzEvMTIvMjAyNQEAAABM7AIAAgAAAAcxMy43ODY2ADRlRSsBsd4IvQy5PgGx3gg5Q0lRLk5ZU0U6RElTLklRX1JFVFVSTl9JTlZFU1RFRF9DQVBJVEFMLkZZMjAxOS4zMS8xMi8yMDI1AQAAAEzsAgACAAAABjcuMjU4MwA0ZUUrAbHeCL0MuT4Bsd4IOUNJUS5OWVNFOkRJUy5JUV9SRVRVUk5fSU5WRVNURURfQ0FQSVRBTC5GWTIwMjAuMzEvMTIvMjAyNQEAAABM7AIAAgAAAActMi44NzMyADRlRSsBsd4IvQy5PgGx3gg5Q0lRLk5ZU0U6RElTLklRX1JFVFVSTl9JTlZFU1RFRF9DQVBJVEFMLkZZMjAyMS4zMS8xMi8yMDI1AQAAAEzsAgACAAAABjEuMjQ1NAA0ZUUrAbHeCL0MuT4Bsd4IOUNJUS5OWVNFOkRJUy5JUV9SRVRVUk5fSU5WRVNURURfQ0FQSVRBTC5GWTIwMjIuMzEvMTIvMjAyNQEAAABM7AIAAgAAAAYxLjk1ODQANGVFKwGx3gi9DLk+AbHeCDlDSVEuTllTRTpESVMuSVFfUkVUVVJOX0lOVkVTVEVEX0NBUElUQUwuRlkyMDIzLjMxLzEyLzIwMjUBAAAATOwCAAIAAAAGMS40NTE2ADRlRSsBsd4IvQy5PgGx3gg5Q0lRLk5ZU0U6RElTLklRX1JFVFVSTl9JTlZFU1RFRF9DQVBJVEFMLkZZMjAyNC4zMS8xMi8yMDI1AQAAAEzsAgACAAAABjIuMjYyNwA0ZUUrAbHeCL0MuT4Bsd4IOUNJUS5OWVNFOkRJUy5JUV9SRVRVUk5f</t>
  </si>
  <si>
    <t>SU5WRVNURURfQ0FQSVRBTC5GWTIwMjUuMzEvMTIvMjAyNQEAAABM7AIAAgAAAAY2LjcyOTIANGVFKwGx3gi9DLk+AbHeCD1DSVEuTkFTREFRR1M6V0JELklRX1JFVFVSTl9JTlZFU1RFRF9DQVBJVEFMLkZZMjAxNS4zMS8xMi8yMDI1AQAAAG3bWQECAAAABjcuNjkxNAA0ZUUrAbHeCL0MuT4Bsd4IPUNJUS5OQVNEQVFHUzpXQkQuSVFfUkVUVVJOX0lOVkVTVEVEX0NBUElUQUwuRlkyMDE2LjMxLzEyLzIwMjUBAAAAbdtZAQIAAAAGOC45MjM3ADRlRSsBsd4IvQy5PgGx3gg9Q0lRLk5BU0RBUUdTOldCRC5JUV9SRVRVUk5fSU5WRVNURURfQ0FQSVRBTC5GWTIwMTcuMzEvMTIvMjAyNQEAAABt21kBAgAAAActMi4wMzM3ADRlRSsBsd4IvQy5PgGx3gg9Q0lRLk5BU0RBUUdTOldCRC5JUV9SRVRVUk5fSU5WRVNURURfQ0FQSVRBTC5GWTIwMTguMzEvMTIvMjAyNQEAAABt21kBAgAAAAYyLjUwNzkANGVFKwGx3gi9DLk+AbHeCD1DSVEuTkFTREFRR1M6V0JELklRX1JFVFVSTl9JTlZFU1RFRF9DQVBJVEFMLkZZMjAxOS4zMS8xMi8yMDI1AQAAAG3bWQECAAAABjcuNDAyNQA0ZUUrAbHeCL0MuT4Bsd4IPUNJUS5OQVNEQVFHUzpXQkQuSVFfUkVUVVJOX0lOVkVTVEVEX0NBUElUQUwuRlkyMDIwLjMxLzEyLzIwMjUBAAAAbdtZAQIAAAAGNC4yNjgzADRlRSsBsd4IvQy5PgGx3gg9Q0lRLk5BU0RBUUdTOldCRC5JUV9S</t>
  </si>
  <si>
    <t>RVRVUk5fSU5WRVNURURfQ0FQSVRBTC5GWTIwMjEuMzEvMTIvMjAyNQEAAABt21kBAgAAAAYzLjQ3OTUANGVFKwGx3gi9DLk+AbHeCD1DSVEuTkFTREFRR1M6V0JELklRX1JFVFVSTl9JTlZFU1RFRF9DQVBJVEFMLkZZMjAyMi4zMS8xMi8yMDI1AQAAAG3bWQECAAAACC0xMS4zMTI3ADRlRSsBsd4IvQy5PgGx3gg9Q0lRLk5BU0RBUUdTOldCRC5JUV9SRVRVUk5fSU5WRVNURURfQ0FQSVRBTC5GWTIwMjMuMzEvMTIvMjAyNQEAAABt21kBAgAAAActMy4yMDU2ADRlRSsBsd4IvQy5PgGx3gg9Q0lRLk5BU0RBUUdTOldCRC5JUV9SRVRVUk5fSU5WRVNURURfQ0FQSVRBTC5GWTIwMjQuMzEvMTIvMjAyNQEAAABt21kBAgAAAAgtMTMuMTc0OAA0ZUUrAbHeCL0MuT4Bsd4IPUNJUS5OQVNEQVFHUzpXQkQuSVFfUkVUVVJOX0lOVkVTVEVEX0NBUElUQUwuRlkyMDI1LjMxLzEyLzIwMjUBAAAAbdtZAQMAAAAAADRlRSsBsd4IvQy5PgGx3gg+Q0lRLk5BU0RBUUdTOlBTS1kuSVFfUkVUVVJOX0lOVkVTVEVEX0NBUElUQUwuRlkyMDE1LjMxLzEyLzIwMjUBAAAAH6KnAQIAAAAGNy45MjM2ADRlRSsBsd4IvQy5PgGx3gg+Q0lRLk5BU0RBUUdTOlBTS1kuSVFfUkVUVVJOX0lOVkVTVEVEX0NBUElUQUwuRlkyMDE2LjMxLzEyLzIwMjUBAAAAH6KnAQIAAAAGNy4xODc0ADRlRSsBsd4IvQy5PgGx3gg+Q0lRLk5BU0RBUUdTOlBT</t>
  </si>
  <si>
    <t>S1kuSVFfUkVUVVJOX0lOVkVTVEVEX0NBUElUQUwuRlkyMDE3LjMxLzEyLzIwMjUBAAAAH6KnAQIAAAAHMTMuNTI5NQA0ZUUrAbHeCL0MuT4Bsd4IPkNJUS5OQVNEQVFHUzpQU0tZLklRX1JFVFVSTl9JTlZFU1RFRF9DQVBJVEFMLkZZMjAxOC4zMS8xMi8yMDI1AQAAAB+ipwECAAAABzEzLjYwMTYANGVFKwGx3gi9DLk+AbHeCD5DSVEuTkFTREFRR1M6UFNLWS5JUV9SRVRVUk5fSU5WRVNURURfQ0FQSVRBTC5GWTIwMTkuMzEvMTIvMjAyNQEAAAAfoqcBAgAAAAY4LjQ2MzQANGVFKwGx3gi9DLk+AbHeCD5DSVEuTkFTREFRR1M6UFNLWS5JUV9SRVRVUk5fSU5WRVNURURfQ0FQSVRBTC5GWTIwMjAuMzEvMTIvMjAyNQEAAAAfoqcBAgAAAAY1LjA1MTkANGVFKwGx3gi9DLk+AbHeCD5DSVEuTkFTREFRR1M6UFNLWS5JUV9SRVRVUk5fSU5WRVNURURfQ0FQSVRBTC5GWTIwMjEuMzEvMTIvMjAyNQEAAAAfoqcBAgAAAAY5LjY2OTQANGVFKwGx3gi9DLk+AbHeCD5DSVEuTkFTREFRR1M6UFNLWS5JUV9SRVRVUk5fSU5WRVNURURfQ0FQSVRBTC5GWTIwMjIuMzEvMTIvMjAyNQEAAAAfoqcBAgAAAAYwLjk4OTQANGVFKwGx3gi9DLk+AbHeCD5DSVEuTkFTREFRR1M6UFNLWS5JUV9SRVRVUk5fSU5WRVNURURfQ0FQSVRBTC5GWTIwMjMuMzEvMTIvMjAyNQEAAAAfoqcBAgAAAActMi42MjY0ADRlRSsBsd4IvQy5PgGx3gg+</t>
  </si>
  <si>
    <t>Q0lRLk5BU0RBUUdTOlBTS1kuSVFfUkVUVVJOX0lOVkVTVEVEX0NBUElUQUwuRlkyMDI0LjMxLzEyLzIwMjUBAAAAH6KnAQIAAAAILTE3LjcxNDkANGVFKwGx3gi9DLk+AbHeCD5DSVEuTkFTREFRR1M6UFNLWS5JUV9SRVRVUk5fSU5WRVNURURfQ0FQSVRBTC5GWTIwMjUuMzEvMTIvMjAyNQEAAAAfoqcBAwAAAAAANGVFKwGx3gi9DLk+AbHeCD9DSVEuTkFTREFRR1M6Q01DU0EuSVFfUkVUVVJOX0lOVkVTVEVEX0NBUElUQUwuRlkyMDE1LjMxLzEyLzIwMjUBAAAAHaUCAAIAAAAGNS40NTI0ADRlRSsBsd4IvQy5PgGx3gg/Q0lRLk5BU0RBUUdTOkNNQ1NBLklRX1JFVFVSTl9JTlZFU1RFRF9DQVBJVEFMLkZZMjAxNi4zMS8xMi8yMDI1AQAAAB2lAgACAAAABjUuMzY2MwA0ZUUrAbHeCL0MuT4Bsd4IP0NJUS5OQVNEQVFHUzpDTUNTQS5JUV9SRVRVUk5fSU5WRVNURURfQ0FQSVRBTC5GWTIwMTcuMzEvMTIvMjAyNQEAAAAdpQIAAgAAAAcxNS42MjkxADRlRSsBsd4IvQy5PgGx3gg/Q0lRLk5BU0RBUUdTOkNNQ1NBLklRX1JFVFVSTl9JTlZFU1RFRF9DQVBJVEFMLkZZMjAxOC4zMS8xMi8yMDI1AQAAAB2lAgACAAAABjUuMjIxNgA0ZUUrAbHeCL0MuT4Bsd4IP0NJUS5OQVNEQVFHUzpDTUNTQS5JUV9SRVRVUk5fSU5WRVNURURfQ0FQSVRBTC5GWTIwMTkuMzEvMTIvMjAyNQEAAAAdpQIAAgAAAAY0Ljg3MDQANGVF</t>
  </si>
  <si>
    <t>KwGx3gi9DLk+AbHeCD9DSVEuTkFTREFRR1M6Q01DU0EuSVFfUkVUVVJOX0lOVkVTVEVEX0NBUElUQUwuRlkyMDIwLjMxLzEyLzIwMjUBAAAAHaUCAAIAAAAGMy4xNjgxADRlRSsBsd4IvQy5PgGx3gg/Q0lRLk5BU0RBUUdTOkNNQ1NBLklRX1JFVFVSTl9JTlZFU1RFRF9DQVBJVEFMLkZZMjAyMS4zMS8xMi8yMDI1AQAAAB2lAgACAAAABTQuNjc3ADRlRSsBsd4IvQy5PgGx3gg/Q0lRLk5BU0RBUUdTOkNNQ1NBLklRX1JFVFVSTl9JTlZFU1RFRF9DQVBJVEFMLkZZMjAyMi4zMS8xMi8yMDI1AQAAAB2lAgACAAAABjAuMzE5MgA0ZUUrAbHeCL0MuT4Bsd4IP0NJUS5OQVNEQVFHUzpDTUNTQS5JUV9SRVRVUk5fSU5WRVNURURfQ0FQSVRBTC5GWTIwMjMuMzEvMTIvMjAyNQEAAAAdpQIAAgAAAAY1LjY1MDgANGVFKwGx3gi9DLk+AbHeCD9DSVEuTkFTREFRR1M6Q01DU0EuSVFfUkVUVVJOX0lOVkVTVEVEX0NBUElUQUwuRlkyMDI0LjMxLzEyLzIwMjUBAAAAHaUCAAIAAAAGNi4wMDY5ADRlRSsBsd4IvQy5PgGx3gg/Q0lRLk5BU0RBUUdTOkNNQ1NBLklRX1JFVFVSTl9JTlZFU1RFRF9DQVBJVEFMLkZZMjAyNS4zMS8xMi8yMDI1AQAAAB2lAgADAAAAAAA0ZUUrAbHeCL0MuT4Bsd4IOUNJUS5OQVNEQVFHUzpORkxYLklRX0RBWVNfSU5WRU5UT1JZX09VVC5GWTIwMTUuMzEvMTIvMjAyNQEAAAAMfQAAAwAAAAAANGVF</t>
  </si>
  <si>
    <t>KwGx3gi9DLk+AbHeCDlDSVEuTkFTREFRR1M6TkZMWC5JUV9EQVlTX0lOVkVOVE9SWV9PVVQuRlkyMDE2LjMxLzEyLzIwMjUBAAAADH0AAAMAAAAAADRlRSsBsd4IvQy5PgGx3gg5Q0lRLk5BU0RBUUdTOk5GTFguSVFfREFZU19JTlZFTlRPUllfT1VULkZZMjAxNy4zMS8xMi8yMDI1AQAAAAx9AAADAAAAAAA0ZUUrAbHeCL0MuT4Bsd4IOUNJUS5OQVNEQVFHUzpORkxYLklRX0RBWVNfSU5WRU5UT1JZX09VVC5GWTIwMTguMzEvMTIvMjAyNQEAAAAMfQAAAwAAAAAANGVFKwGx3gi9DLk+AbHeCDlDSVEuTkFTREFRR1M6TkZMWC5JUV9EQVlTX0lOVkVOVE9SWV9PVVQuRlkyMDE5LjMxLzEyLzIwMjUBAAAADH0AAAMAAAAAADRlRSsBsd4IvQy5PgGx3gg5Q0lRLk5BU0RBUUdTOk5GTFguSVFfREFZU19JTlZFTlRPUllfT1VULkZZMjAyMC4zMS8xMi8yMDI1AQAAAAx9AAADAAAAAAA0ZUUrAbHeCL0MuT4Bsd4IOUNJUS5OQVNEQVFHUzpORkxYLklRX0RBWVNfSU5WRU5UT1JZX09VVC5GWTIwMjEuMzEvMTIvMjAyNQEAAAAMfQAAAwAAAAAANGVFKwGx3gi9DLk+AbHeCDlDSVEuTkFTREFRR1M6TkZMWC5JUV9EQVlTX0lOVkVOVE9SWV9PVVQuRlkyMDIyLjMxLzEyLzIwMjUBAAAADH0AAAMAAAAAADRlRSsBsd4IvQy5PgGx3gg5Q0lRLk5BU0RBUUdTOk5GTFguSVFfREFZU19JTlZFTlRPUllfT1VULkZZMjAyMy4zMS8x</t>
  </si>
  <si>
    <t>Mi8yMDI1AQAAAAx9AAADAAAAAAA0ZUUrAbHeCL0MuT4Bsd4IOUNJUS5OQVNEQVFHUzpORkxYLklRX0RBWVNfSU5WRU5UT1JZX09VVC5GWTIwMjQuMzEvMTIvMjAyNQEAAAAMfQAAAwAAAAAANGVFKwGx3gi9DLk+AbHeCDlDSVEuTkFTREFRR1M6TkZMWC5JUV9EQVlTX0lOVkVOVE9SWV9PVVQuRlkyMDI1LjMxLzEyLzIwMjUBAAAADH0AAAMAAAAAADRlRSsBsd4IvQy5PgGx3gg1Q0lRLk5ZU0U6U1BPVC5JUV9EQVlTX0lOVkVOVE9SWV9PVVQuRlkyMDE1LjMxLzEyLzIwMjUBAAAAxU5yDQMAAAAAADRlRSsBsd4Iwai2PgGx3gg1Q0lRLk5ZU0U6U1BPVC5JUV9EQVlTX0lOVkVOVE9SWV9PVVQuRlkyMDE2LjMxLzEyLzIwMjUBAAAAxU5yDQMAAAAAADRlRSsBsd4Iwai2PgGx3gg1Q0lRLk5ZU0U6U1BPVC5JUV9EQVlTX0lOVkVOVE9SWV9PVVQuRlkyMDE3LjMxLzEyLzIwMjUBAAAAxU5yDQMAAAAAADRlRSsBsd4Iwai2PgGx3gg1Q0lRLk5ZU0U6U1BPVC5JUV9EQVlTX0lOVkVOVE9SWV9PVVQuRlkyMDE4LjMxLzEyLzIwMjUBAAAAxU5yDQMAAAAAADRlRSsBsd4Iwai2PgGx3gg1Q0lRLk5ZU0U6U1BPVC5JUV9EQVlTX0lOVkVOVE9SWV9PVVQuRlkyMDE5LjMxLzEyLzIwMjUBAAAAxU5yDQMAAAAAADRlRSsBsd4Iwai2PgGx3gg1Q0lRLk5ZU0U6U1BPVC5JUV9EQVlTX0lOVkVOVE9SWV9PVVQuRlkyMDIwLjMxLzEy</t>
  </si>
  <si>
    <t>LzIwMjUBAAAAxU5yDQMAAAAAADRlRSsBsd4Iwai2PgGx3gg1Q0lRLk5ZU0U6U1BPVC5JUV9EQVlTX0lOVkVOVE9SWV9PVVQuRlkyMDIxLjMxLzEyLzIwMjUBAAAAxU5yDQMAAAAAADRlRSsBsd4Iwai2PgGx3gg1Q0lRLk5ZU0U6U1BPVC5JUV9EQVlTX0lOVkVOVE9SWV9PVVQuRlkyMDIyLjMxLzEyLzIwMjUBAAAAxU5yDQMAAAAAADRlRSsBsd4Iwai2PgGx3gg1Q0lRLk5ZU0U6U1BPVC5JUV9EQVlTX0lOVkVOVE9SWV9PVVQuRlkyMDIzLjMxLzEyLzIwMjUBAAAAxU5yDQMAAAAAADRlRSsBsd4Iwai2PgGx3gg1Q0lRLk5ZU0U6U1BPVC5JUV9EQVlTX0lOVkVOVE9SWV9PVVQuRlkyMDI0LjMxLzEyLzIwMjUBAAAAxU5yDQMAAAAAADRlRSsBsd4Iwai2PgGx3gg1Q0lRLk5ZU0U6U1BPVC5JUV9EQVlTX0lOVkVOVE9SWV9PVVQuRlkyMDI1LjMxLzEyLzIwMjUBAAAAxU5yDQMAAAAAADRlRSsBsd4Iwai2PgGx3gg5Q0lRLk5BU0RBUUdTOlJPS1UuSVFfREFZU19JTlZFTlRPUllfT1VULkZZMjAxNS4zMS8xMi8yMDI1AQAAAEmahAADAAAAAAA0ZUUrAbHeCMGotj4Bsd4IOUNJUS5OQVNEQVFHUzpST0tVLklRX0RBWVNfSU5WRU5UT1JZX09VVC5GWTIwMTYuMzEvMTIvMjAyNQEAAABJmoQAAgAAAAk0OS4zNjc4NTcBCAAAAAUAAAABMQEAAAAKMTk0ODA2NDk2OAMAAAADMTYwAgAAAAQ0MDM1BAAAAAEwBwAAAAoxMi8z</t>
  </si>
  <si>
    <t>MS8yMDI1CAAAAAoxMi8zMS8yMDE2CQAAAAEwNGVFKwGx3gjBqLY+AbHeCDlDSVEuTkFTREFRR1M6Uk9LVS5JUV9EQVlTX0lOVkVOVE9SWV9PVVQuRlkyMDE3LjMxLzEyLzIwMjUBAAAASZqEAAIAAAAJNDQuNTAyNjI1AQgAAAAFAAAAATEBAAAACjIwMTg4NTAzNjIDAAAAAzE2MAIAAAAENDAzNQQAAAABMAcAAAAKMTIvMzEvMjAyNQgAAAAKMTIvMzEvMjAxNwkAAAABMDRlRSsBsd4Iwai2PgGx3gg5Q0lRLk5BU0RBUUdTOlJPS1UuSVFfREFZU19JTlZFTlRPUllfT1VULkZZMjAxOC4zMS8xMi8yMDI1AQAAAEmahAACAAAACDMwLjM4NjI1AQgAAAAFAAAAATEBAAAACjIwODIxMDA0ODgDAAAAAzE2MAIAAAAENDAzNQQAAAABMAcAAAAKMTIvMzEvMjAyNQgAAAAKMTIvMzEvMjAxOAkAAAABMDRlRSsBsd4Iwai2PgGx3gg5Q0lRLk5BU0RBUUdTOlJPS1UuSVFfREFZU19JTlZFTlRPUllfT1VULkZZMjAxOS4zMS8xMi8yMDI1AQAAAEmahAACAAAACDI0LjU2NTIzAQgAAAAFAAAAATEBAAAACy0yMTExNjI5OTk2AwAAAAMxNjACAAAABDQwMzUEAAAAATAHAAAACjEyLzMxLzIwMjUIAAAACjEyLzMxLzIwMTkJAAAAATA0ZUUrAbHeCMGotj4Bsd4IOUNJUS5OQVNEQVFHUzpST0tVLklRX0RBWVNfSU5WRU5UT1JZX09VVC5GWTIwMjAuMzEvMTIvMjAyNQEAAABJmoQAAgAAAAkxOS41NDMzMDIBCAAAAAUAAAABMQEAAAAL</t>
  </si>
  <si>
    <t>LTIwNjA2MzM3NjgDAAAAAzE2MAIAAAAENDAzNQQAAAABMAcAAAAKMTIvMzEvMjAyNQgAAAAKMTIvMzEvMjAyMAkAAAABMDRlRSsBsd4Iwai2PgGx3gg5Q0lRLk5BU0RBUUdTOlJPS1UuSVFfREFZU19JTlZFTlRPUllfT1VULkZZMjAyMS4zMS8xMi8yMDI1AQAAAEmahAACAAAACTE0LjAyMDAxNQEIAAAABQAAAAExAQAAAAstMjAwOTkyNzk0NAMAAAADMTYwAgAAAAQ0MDM1BAAAAAEwBwAAAAoxMi8zMS8yMDI1CAAAAAoxMi8zMS8yMDIxCQAAAAEwNGVFKwGx3gjBqLY+AbHeCDlDSVEuTkFTREFRR1M6Uk9LVS5JUV9EQVlTX0lOVkVOVE9SWV9PVVQuRlkyMDIyLjMxLzEyLzIwMjUBAAAASZqEAAIAAAAIMTcuMDAyNDMBCAAAAAUAAAABMQEAAAALLTE5NTk0ODYxOTMDAAAAAzE2MAIAAAAENDAzNQQAAAABMAcAAAAKMTIvMzEvMjAyNQgAAAAKMTIvMzEvMjAyMgkAAAABMDRlRSsBsd4Iwai2PgGx3gg5Q0lRLk5BU0RBUUdTOlJPS1UuSVFfREFZU19JTlZFTlRPUllfT1VULkZZMjAyMy4zMS8xMi8yMDI1AQAAAEmahAACAAAACDE5LjE4NjU5AQgAAAAFAAAAATEBAAAACy0xOTU5NDg2MTk2AwAAAAMxNjACAAAABDQwMzUEAAAAATAHAAAACjEyLzMxLzIwMjUIAAAACjEyLzMxLzIwMjMJAAAAATA0ZUUrAbHeCMGotj4Bsd4IOUNJUS5OQVNEQVFHUzpST0tVLklRX0RBWVNfSU5WRU5UT1JZX09VVC5GWTIwMjQuMzEv</t>
  </si>
  <si>
    <t>MTIvMjAyNQEAAABJmoQAAgAAAAkxOS44NjAyNTgBCAAAAAUAAAABMQEAAAALLTE5NTk0ODYxOTADAAAAAzE2MAIAAAAENDAzNQQAAAABMAcAAAAKMTIvMzEvMjAyNQgAAAAKMTIvMzEvMjAyNAkAAAABMDRlRSsBsd4Iwai2PgGx3gg5Q0lRLk5BU0RBUUdTOlJPS1UuSVFfREFZU19JTlZFTlRPUllfT1VULkZZMjAyNS4zMS8xMi8yMDI1AQAAAEmahAADAAAAAAA0ZUUrAbHeCMGotj4Bsd4IN0NJUS5OQVNEQVFHUzpJUS5JUV9EQVlTX0lOVkVOVE9SWV9PVVQuRlkyMDE1LjMxLzEyLzIwMjUBAAAAwijlBQMAAAAAADRlRSsBsd4Iwai2PgGx3gg3Q0lRLk5BU0RBUUdTOklRLklRX0RBWVNfSU5WRU5UT1JZX09VVC5GWTIwMTYuMzEvMTIvMjAyNQEAAADCKOUFAwAAAAAANGVFKwGx3gjBqLY+AbHeCDdDSVEuTkFTREFRR1M6SVEuSVFfREFZU19JTlZFTlRPUllfT1VULkZZMjAxNy4zMS8xMi8yMDI1AQAAAMIo5QUDAAAAAAA0ZUUrAbHeCMGotj4Bsd4IN0NJUS5OQVNEQVFHUzpJUS5JUV9EQVlTX0lOVkVOVE9SWV9PVVQuRlkyMDE4LjMxLzEyLzIwMjUBAAAAwijlBQMAAAAAADRlRSsBsd4Iwai2PgGx3gg3Q0lRLk5BU0RBUUdTOklRLklRX0RBWVNfSU5WRU5UT1JZX09VVC5GWTIwMTkuMzEvMTIvMjAyNQEAAADCKOUFAwAAAAAANGVFKwGx3gjBqLY+AbHeCDdDSVEuTkFTREFRR1M6SVEuSVFfREFZU19JTlZFTlRP</t>
  </si>
  <si>
    <t>UllfT1VULkZZMjAyMC4zMS8xMi8yMDI1AQAAAMIo5QUDAAAAAAA0ZUUrAbHeCMGotj4Bsd4IN0NJUS5OQVNEQVFHUzpJUS5JUV9EQVlTX0lOVkVOVE9SWV9PVVQuRlkyMDIxLjMxLzEyLzIwMjUBAAAAwijlBQMAAAAAADRlRSsBsd4Iwai2PgGx3gg3Q0lRLk5BU0RBUUdTOklRLklRX0RBWVNfSU5WRU5UT1JZX09VVC5GWTIwMjIuMzEvMTIvMjAyNQEAAADCKOUFAwAAAAAANGVFKwGx3gjBqLY+AbHeCDdDSVEuTkFTREFRR1M6SVEuSVFfREFZU19JTlZFTlRPUllfT1VULkZZMjAyMy4zMS8xMi8yMDI1AQAAAMIo5QUDAAAAAAA0ZUUrAbHeCMGotj4Bsd4IN0NJUS5OQVNEQVFHUzpJUS5JUV9EQVlTX0lOVkVOVE9SWV9PVVQuRlkyMDI0LjMxLzEyLzIwMjUBAAAAwijlBQMAAAAAADRlRSsBsd4Iwai2PgGx3gg3Q0lRLk5BU0RBUUdTOklRLklRX0RBWVNfSU5WRU5UT1JZX09VVC5GWTIwMjUuMzEvMTIvMjAyNQEAAADCKOUFAwAAAAAANGVFKwGx3gjBqLY+AbHeCDlDSVEuTkFTREFRR1M6QklMSS5JUV9EQVlTX0lOVkVOVE9SWV9PVVQuRlkyMDE1LjMxLzEyLzIwMjUBAAAAIlxlEQMAAAAAADRlRSsBsd4Iwai2PgGx3gg5Q0lRLk5BU0RBUUdTOkJJTEkuSVFfREFZU19JTlZFTlRPUllfT1VULkZZMjAxNi4zMS8xMi8yMDI1AQAAACJcZRECAAAACDEuODUxMjI4AQgAAAAFAAAAATEBAAAACjE5NTE3MjE4MDMDAAAA</t>
  </si>
  <si>
    <t>AjMyAgAAAAQ0MDM1BAAAAAEwBwAAAAoxMi8zMS8yMDI1CAAAAAoxMi8zMS8yMDE2CQAAAAEwNGVFKwGx3gjBqLY+AbHeCDlDSVEuTkFTREFRR1M6QklMSS5JUV9EQVlTX0lOVkVOVE9SWV9PVVQuRlkyMDE3LjMxLzEyLzIwMjUBAAAAIlxlEQIAAAAHMS41ODU1NgEIAAAABQAAAAExAQAAAAoyMDI0MzA0MjczAwAAAAIzMgIAAAAENDAzNQQAAAABMAcAAAAKMTIvMzEvMjAyNQgAAAAKMTIvMzEvMjAxNwkAAAABMDRlRSsBsd4Iwai2PgGx3gg5Q0lRLk5BU0RBUUdTOkJJTEkuSVFfREFZU19JTlZFTlRPUllfT1VULkZZMjAxOC4zMS8xMi8yMDI1AQAAACJcZRECAAAABjQuMzQzNQEIAAAABQAAAAExAQAAAAoyMDgzMjk5NzAyAwAAAAIzMgIAAAAENDAzNQQAAAABMAcAAAAKMTIvMzEvMjAyNQgAAAAKMTIvMzEvMjAxOAkAAAABMDRlRSsBsd4Iwai2PgGx3gg5Q0lRLk5BU0RBUUdTOkJJTEkuSVFfREFZU19JTlZFTlRPUllfT1VULkZZMjAxOS4zMS8xMi8yMDI1AQAAACJcZRECAAAACDQuNzk3OTI1AQgAAAAFAAAAATEBAAAACy0yMTAxNTAyNDUxAwAAAAIzMgIAAAAENDAzNQQAAAABMAcAAAAKMTIvMzEvMjAyNQgAAAAKMTIvMzEvMjAxOQkAAAABMDRlRSsBsd4Iwai2PgGx3gg5Q0lRLk5BU0RBUUdTOkJJTEkuSVFfREFZU19JTlZFTlRPUllfT1VULkZZMjAyMC4zMS8xMi8yMDI1AQAAACJcZRECAAAACDUuMTcz</t>
  </si>
  <si>
    <t>Nzc2AQgAAAAFAAAAATEBAAAACy0yMDQ5MDMxNjMzAwAAAAIzMgIAAAAENDAzNQQAAAABMAcAAAAKMTIvMzEvMjAyNQgAAAAKMTIvMzEvMjAyMAkAAAABMDRlRSsBsd4Iwai2PgGx3gg5Q0lRLk5BU0RBUUdTOkJJTEkuSVFfREFZU19JTlZFTlRPUllfT1VULkZZMjAyMS4zMS8xMi8yMDI1AQAAACJcZRECAAAACDguNjkwMjg1AQgAAAAFAAAAATEBAAAACy0yMDAyMzk4NTU1AwAAAAIzMgIAAAAENDAzNQQAAAABMAcAAAAKMTIvMzEvMjAyNQgAAAAKMTIvMzEvMjAyMQkAAAABMDRlRSsBsd4Iwai2PgGx3gg5Q0lRLk5BU0RBUUdTOkJJTEkuSVFfREFZU19JTlZFTlRPUllfT1VULkZZMjAyMi4zMS8xMi8yMDI1AQAAACJcZRECAAAACTEwLjc2MzQ4NQEIAAAABQAAAAExAQAAAAstMTk1NDQ4NDQ0MQMAAAACMzICAAAABDQwMzUEAAAAATAHAAAACjEyLzMxLzIwMjUIAAAACjEyLzMxLzIwMjIJAAAAATA0ZUUrAbHeCMGotj4Bsd4IOUNJUS5OQVNEQVFHUzpCSUxJLklRX0RBWVNfSU5WRU5UT1JZX09VVC5GWTIwMjMuMzEvMTIvMjAyNQEAAAAiXGURAgAAAAg4LjA2NDY3NQEIAAAABQAAAAExAQAAAAstMTk1NDQ4NDQ0OAMAAAACMzICAAAABDQwMzUEAAAAATAHAAAACjEyLzMxLzIwMjUIAAAACjEyLzMxLzIwMjMJAAAAATA0ZUUrAbHeCMGotj4Bsd4IOUNJUS5OQVNEQVFHUzpCSUxJLklRX0RBWVNfSU5WRU5UT1JZ</t>
  </si>
  <si>
    <t>X09VVC5GWTIwMjQuMzEvMTIvMjAyNQEAAAAiXGURAgAAAAg1LjQyOTI0NAEIAAAABQAAAAExAQAAAAstMTk1NDQ4NDQ1MgMAAAACMzICAAAABDQwMzUEAAAAATAHAAAACjEyLzMxLzIwMjUIAAAACjEyLzMxLzIwMjQJAAAAATA0ZUUrAbHeCMGotj4Bsd4IOUNJUS5OQVNEQVFHUzpCSUxJLklRX0RBWVNfSU5WRU5UT1JZX09VVC5GWTIwMjUuMzEvMTIvMjAyNQEAAAAiXGURAwAAAAAANGVFKwGx3gjBqLY+AbHeCDRDSVEuTllTRTpESVMuSVFfREFZU19JTlZFTlRPUllfT1VULkZZMjAxNS4zMS8xMi8yMDI1AQAAAEzsAgACAAAACTM1LjE1ODkyOAEIAAAABQAAAAExAQAAAAoxODY3Mjk4MDE4AwAAAAMxNjACAAAABDQwMzUEAAAAATAHAAAACjEyLzMxLzIwMjUIAAAACTEwLzMvMjAxNQkAAAABMDRlRSsBsd4Iwai2PgGx3gg0Q0lRLk5ZU0U6RElTLklRX0RBWVNfSU5WRU5UT1JZX09VVC5GWTIwMTYuMzEvMTIvMjAyNQEAAABM7AIAAgAAAAkzMi41MzcyMzIBCAAAAAUAAAABMQEAAAAKMTkyNTI5NTQyOQMAAAADMTYwAgAAAAQ0MDM1BAAAAAEwBwAAAAoxMi8zMS8yMDI1CAAAAAkxMC8xLzIwMTYJAAAAATA0ZUUrAbHeCMGotj4Bsd4INENJUS5OWVNFOkRJUy5JUV9EQVlTX0lOVkVOVE9SWV9PVVQuRlkyMDE3LjMxLzEyLzIwMjUBAAAATOwCAAIAAAAHMzEuNTIyNAEIAAAABQAAAAExAQAAAAoxOTkzODU5NDEz</t>
  </si>
  <si>
    <t>AwAAAAMxNjACAAAABDQwMzUEAAAAATAHAAAACjEyLzMxLzIwMjUIAAAACTkvMzAvMjAxNwkAAAABMDRlRSsBsd4Iwai2PgGx3gg0Q0lRLk5ZU0U6RElTLklRX0RBWVNfSU5WRU5UT1JZX09VVC5GWTIwMTguMzEvMTIvMjAyNQEAAABM7AIAAgAAAAkyOS43OTE5NDQBCAAAAAUAAAABMQEAAAAKMjA3MjkxMTUyOQMAAAADMTYwAgAAAAQ0MDM1BAAAAAEwBwAAAAoxMi8zMS8yMDI1CAAAAAk5LzI5LzIwMTgJAAAAATA0ZUUrAbHeCMGotj4Bsd4INENJUS5OWVNFOkRJUy5JUV9EQVlTX0lOVkVOVE9SWV9PVVQuRlkyMDE5LjMxLzEyLzIwMjUBAAAATOwCAAIAAAAJMzguNzM1NDI0AQgAAAAFAAAAATEBAAAACy0yMTE5MjkyOTUwAwAAAAMxNjACAAAABDQwMzUEAAAAATAHAAAACjEyLzMxLzIwMjUIAAAACTkvMjgvMjAxOQkAAAABMDRlRSsBsd4Iwai2PgGx3gg0Q0lRLk5ZU0U6RElTLklRX0RBWVNfSU5WRU5UT1JZX09VVC5GWTIwMjAuMzEvMTIvMjAyNQEAAABM7AIAAgAAAAk0Mi4yNzQzMzcBCAAAAAUAAAABMQEAAAALLTIwNjY3OTI4NjMDAAAAAzE2MAIAAAAENDAzNQQAAAABMAcAAAAKMTIvMzEvMjAyNQgAAAAJMTAvMy8yMDIwCQAAAAEwNGVFKwGx3gjBqLY+AbHeCDRDSVEuTllTRTpESVMuSVFfREFZU19JTlZFTlRPUllfT1VULkZZMjAyMS4zMS8xMi8yMDI1AQAAAEzsAgACAAAACTI5LjMwOTY0NAEIAAAA</t>
  </si>
  <si>
    <t>BQAAAAExAQAAAAstMjAxNzUwODI1OAMAAAADMTYwAgAAAAQ0MDM1BAAAAAEwBwAAAAoxMi8zMS8yMDI1CAAAAAkxMC8yLzIwMjEJAAAAATA0ZUUrAbHeCMGotj4Bsd4INENJUS5OWVNFOkRJUy5JUV9EQVlTX0lOVkVOVE9SWV9PVVQuRlkyMDIyLjMxLzEyLzIwMjUBAAAATOwCAAIAAAAJMjMuOTA2NzkyAQgAAAAFAAAAATEBAAAACy0xOTY5MDA2Mzg1AwAAAAMxNjACAAAABDQwMzUEAAAAATAHAAAACjEyLzMxLzIwMjUIAAAACTEwLzEvMjAyMgkAAAABMDRlRSsBsd4Iwai2PgGx3gg0Q0lRLk5ZU0U6RElTLklRX0RBWVNfSU5WRU5UT1JZX09VVC5GWTIwMjMuMzEvMTIvMjAyNQEAAABM7AIAAgAAAAkyNi40MjkzMTIBCAAAAAUAAAABMQEAAAALLTE5MTcwMTYxMTYDAAAAAzE2MAIAAAAENDAzNQQAAAABMAcAAAAKMTIvMzEvMjAyNQgAAAAJOS8zMC8yMDIzCQAAAAEwNGVFKwGx3gjBqLY+AbHeCDRDSVEuTllTRTpESVMuSVFfREFZU19JTlZFTlRPUllfT1VULkZZMjAyNC4zMS8xMi8yMDI1AQAAAEzsAgACAAAACTI4LjE2NTk1NgEIAAAABQAAAAExAQAAAAstMTkxNzAxNjEyOAMAAAADMTYwAgAAAAQ0MDM1BAAAAAEwBwAAAAoxMi8zMS8yMDI1CAAAAAk5LzI4LzIwMjQJAAAAATA0ZUUrAbHeCMGotj4Bsd4INENJUS5OWVNFOkRJUy5JUV9EQVlTX0lOVkVOVE9SWV9PVVQuRlkyMDI1LjMxLzEyLzIwMjUBAAAA</t>
  </si>
  <si>
    <t>TOwCAAIAAAAIMjUuNzU0ODIBCAAAAAUAAAABMQEAAAALLTE5MTcwMTYxNTEDAAAAAzE2MAIAAAAENDAzNQQAAAABMAcAAAAKMTIvMzEvMjAyNQgAAAAJOS8yNy8yMDI1CQAAAAEwNGVFKwGx3gjBqLY+AbHeCDhDSVEuTkFTREFRR1M6V0JELklRX0RBWVNfSU5WRU5UT1JZX09VVC5GWTIwMTUuMzEvMTIvMjAyNQEAAABt21kBAwAAAAAANGVFKwGx3gi9DLk+AbHeCDhDSVEuTkFTREFRR1M6V0JELklRX0RBWVNfSU5WRU5UT1JZX09VVC5GWTIwMTYuMzEvMTIvMjAyNQEAAABt21kBAwAAAAAANGVFKwGx3gi9DLk+AbHeCDhDSVEuTkFTREFRR1M6V0JELklRX0RBWVNfSU5WRU5UT1JZX09VVC5GWTIwMTcuMzEvMTIvMjAyNQEAAABt21kBAwAAAAAANGVFKwGx3gi9DLk+AbHeCDhDSVEuTkFTREFRR1M6V0JELklRX0RBWVNfSU5WRU5UT1JZX09VVC5GWTIwMTguMzEvMTIvMjAyNQEAAABt21kBAwAAAAAANGVFKwGx3gi9DLk+AbHeCDhDSVEuTkFTREFRR1M6V0JELklRX0RBWVNfSU5WRU5UT1JZX09VVC5GWTIwMTkuMzEvMTIvMjAyNQEAAABt21kBAwAAAAAANGVFKwGx3gi9DLk+AbHeCDhDSVEuTkFTREFRR1M6V0JELklRX0RBWVNfSU5WRU5UT1JZX09VVC5GWTIwMjAuMzEvMTIvMjAyNQEAAABt21kBAwAAAAAANGVFKwGx3gi9DLk+AbHeCDhDSVEuTkFTREFRR1M6V0JELklRX0RBWVNfSU5WRU5UT1JZX09VVC5G</t>
  </si>
  <si>
    <t>WTIwMjEuMzEvMTIvMjAyNQEAAABt21kBAwAAAAAANGVFKwGx3gi9DLk+AbHeCDhDSVEuTkFTREFRR1M6V0JELklRX0RBWVNfSU5WRU5UT1JZX09VVC5GWTIwMjIuMzEvMTIvMjAyNQEAAABt21kBAwAAAAAANGVFKwGx3gi9DLk+AbHeCDhDSVEuTkFTREFRR1M6V0JELklRX0RBWVNfSU5WRU5UT1JZX09VVC5GWTIwMjMuMzEvMTIvMjAyNQEAAABt21kBAwAAAAAANGVFKwGx3gi9DLk+AbHeCDhDSVEuTkFTREFRR1M6V0JELklRX0RBWVNfSU5WRU5UT1JZX09VVC5GWTIwMjQuMzEvMTIvMjAyNQEAAABt21kBAwAAAAAANGVFKwGx3gi9DLk+AbHeCDhDSVEuTkFTREFRR1M6V0JELklRX0RBWVNfSU5WRU5UT1JZX09VVC5GWTIwMjUuMzEvMTIvMjAyNQEAAABt21kBAwAAAAAANGVFKwGx3gi9DLk+AbHeCDlDSVEuTkFTREFRR1M6UFNLWS5JUV9EQVlTX0lOVkVOVE9SWV9PVVQuRlkyMDE1LjMxLzEyLzIwMjUBAAAAH6KnAQIAAAAJNTAuNTY3NDY1AQgAAAAFAAAAATEBAAAACjE4NzUxOTYyNjgDAAAAAzE2MAIAAAAENDAzNQQAAAABMAcAAAAKMTIvMzEvMjAyNQgAAAAKMTIvMzEvMjAxNQkAAAABMDRlRSsBsd4IvQy5PgGx3gg5Q0lRLk5BU0RBUUdTOlBTS1kuSVFfREFZU19JTlZFTlRPUllfT1VULkZZMjAxNi4zMS8xMi8yMDI1AQAAAB+ipwECAAAACTYyLjAzNDgwNAEIAAAABQAAAAExAQAAAAoxOTQ1Mjc2ODQ5</t>
  </si>
  <si>
    <t>AwAAAAMxNjACAAAABDQwMzUEAAAAATAHAAAACjEyLzMxLzIwMjUIAAAACjEyLzMxLzIwMTYJAAAAATA0ZUUrAbHeCL0MuT4Bsd4IOUNJUS5OQVNEQVFHUzpQU0tZLklRX0RBWVNfSU5WRU5UT1JZX09VVC5GWTIwMTcuMzEvMTIvMjAyNQEAAAAfoqcBAgAAAAkzOC4zNjY5NzUBCAAAAAUAAAABMQEAAAAKMjAxNjIzMTc1MgMAAAADMTYwAgAAAAQ0MDM1BAAAAAEwBwAAAAoxMi8zMS8yMDI1CAAAAAoxMi8zMS8yMDE3CQAAAAEwNGVFKwGx3gi9DLk+AbHeCDlDSVEuTkFTREFRR1M6UFNLWS5JUV9EQVlTX0lOVkVOVE9SWV9PVVQuRlkyMDE4LjMxLzEyLzIwMjUBAAAAH6KnAQIAAAAINTQuNjcwNDMBCAAAAAUAAAABMQEAAAAKMjA4MTU4NDkzNwMAAAADMTYwAgAAAAQ0MDM1BAAAAAEwBwAAAAoxMi8zMS8yMDI1CAAAAAoxMi8zMS8yMDE4CQAAAAEwNGVFKwGx3gi9DLk+AbHeCDlDSVEuTkFTREFRR1M6UFNLWS5JUV9EQVlTX0lOVkVOVE9SWV9PVVQuRlkyMDE5LjMxLzEyLzIwMjUBAAAAH6KnAQIAAAAINjMuMzYxMDgBCAAAAAUAAAABMQEAAAALLTIxMTIxODY0MTQDAAAAAzE2MAIAAAAENDAzNQQAAAABMAcAAAAKMTIvMzEvMjAyNQgAAAAKMTIvMzEvMjAxOQkAAAABMDRlRSsBsd4IvQy5PgGx3gg5Q0lRLk5BU0RBUUdTOlBTS1kuSVFfREFZU19JTlZFTlRPUllfT1VULkZZMjAyMC4zMS8xMi8yMDI1AQAAAB+i</t>
  </si>
  <si>
    <t>pwECAAAACTU2LjM4MTU2OAEIAAAABQAAAAExAQAAAAstMjA2MDcxNTg5OQMAAAADMTYwAgAAAAQ0MDM1BAAAAAEwBwAAAAoxMi8zMS8yMDI1CAAAAAoxMi8zMS8yMDIwCQAAAAEwNGVFKwGx3gi9DLk+AbHeCDlDSVEuTkFTREFRR1M6UFNLWS5JUV9EQVlTX0lOVkVOVE9SWV9PVVQuRlkyMDIxLjMxLzEyLzIwMjUBAAAAH6KnAQIAAAAIMzMuNTM5ODUBCAAAAAUAAAABMQEAAAALLTIwMDgxOTA2NjcDAAAAAzE2MAIAAAAENDAzNQQAAAABMAcAAAAKMTIvMzEvMjAyNQgAAAAKMTIvMzEvMjAyMQkAAAABMDRlRSsBsd4IvQy5PgGx3gg5Q0lRLk5BU0RBUUdTOlBTS1kuSVFfREFZU19JTlZFTlRPUllfT1VULkZZMjAyMi4zMS8xMi8yMDI1AQAAAB+ipwECAAAACTI2LjE3MjMyNQEIAAAABQAAAAExAQAAAAstMTk1ODE2ODc4MAMAAAADMTYwAgAAAAQ0MDM1BAAAAAEwBwAAAAoxMi8zMS8yMDI1CAAAAAoxMi8zMS8yMDIyCQAAAAEwNGVFKwGx3gjBqLY+AbHeCDlDSVEuTkFTREFRR1M6UFNLWS5JUV9EQVlTX0lOVkVOVE9SWV9PVVQuRlkyMDIzLjMxLzEyLzIwMjUBAAAAH6KnAQIAAAAJMjUuMTI2OTY1AQgAAAAFAAAAATEBAAAACy0xOTU4MTY4Nzc5AwAAAAMxNjACAAAABDQwMzUEAAAAATAHAAAACjEyLzMxLzIwMjUIAAAACjEyLzMxLzIwMjMJAAAAATA0ZUUrAbHeCMGotj4Bsd4IOUNJUS5OQVNEQVFHUzpQU0tZ</t>
  </si>
  <si>
    <t>LklRX0RBWVNfSU5WRU5UT1JZX09VVC5GWTIwMjQuMzEvMTIvMjAyNQEAAAAfoqcBAgAAAAkyNi43NjY2NzgBCAAAAAUAAAABMQEAAAALLTE5NTgxNjg3NzgDAAAAAzE2MAIAAAAENDAzNQQAAAABMAcAAAAKMTIvMzEvMjAyNQgAAAAKMTIvMzEvMjAyNAkAAAABMDRlRSsBsd4IvQy5PgGx3gg5Q0lRLk5BU0RBUUdTOlBTS1kuSVFfREFZU19JTlZFTlRPUllfT1VULkZZMjAyNS4zMS8xMi8yMDI1AQAAAB+ipwEDAAAAAAA0ZUUrAbHeCMGotj4Bsd4IOkNJUS5OQVNEQVFHUzpDTUNTQS5JUV9EQVlTX0lOVkVOVE9SWV9PVVQuRlkyMDE1LjMxLzEyLzIwMjUBAAAAHaUCAAMAAAAAADRlRSsBsd4Iwai2PgGx3gg6Q0lRLk5BU0RBUUdTOkNNQ1NBLklRX0RBWVNfSU5WRU5UT1JZX09VVC5GWTIwMTYuMzEvMTIvMjAyNQEAAAAdpQIAAwAAAAAANGVFKwGx3gjBqLY+AbHeCDpDSVEuTkFTREFRR1M6Q01DU0EuSVFfREFZU19JTlZFTlRPUllfT1VULkZZMjAxNy4zMS8xMi8yMDI1AQAAAB2lAgADAAAAAAA0ZUUrAbHeCMGotj4Bsd4IOkNJUS5OQVNEQVFHUzpDTUNTQS5JUV9EQVlTX0lOVkVOVE9SWV9PVVQuRlkyMDE4LjMxLzEyLzIwMjUBAAAAHaUCAAMAAAAAADRlRSsBsd4Iwai2PgGx3gg6Q0lRLk5BU0RBUUdTOkNNQ1NBLklRX0RBWVNfSU5WRU5UT1JZX09VVC5GWTIwMTkuMzEvMTIvMjAyNQEAAAAdpQIAAwAAAAAA</t>
  </si>
  <si>
    <t>NGVFKwGx3gjBqLY+AbHeCDpDSVEuTkFTREFRR1M6Q01DU0EuSVFfREFZU19JTlZFTlRPUllfT1VULkZZMjAyMC4zMS8xMi8yMDI1AQAAAB2lAgADAAAAAAA0ZUUrAbHeCMGotj4Bsd4IOkNJUS5OQVNEQVFHUzpDTUNTQS5JUV9EQVlTX0lOVkVOVE9SWV9PVVQuRlkyMDIxLjMxLzEyLzIwMjUBAAAAHaUCAAMAAAAAADRlRSsBsd4Iwai2PgGx3gg6Q0lRLk5BU0RBUUdTOkNNQ1NBLklRX0RBWVNfSU5WRU5UT1JZX09VVC5GWTIwMjIuMzEvMTIvMjAyNQEAAAAdpQIAAwAAAAAANGVFKwGx3gjBqLY+AbHeCDpDSVEuTkFTREFRR1M6Q01DU0EuSVFfREFZU19JTlZFTlRPUllfT1VULkZZMjAyMy4zMS8xMi8yMDI1AQAAAB2lAgADAAAAAAA0ZUUrAbHeCMGotj4Bsd4IOkNJUS5OQVNEQVFHUzpDTUNTQS5JUV9EQVlTX0lOVkVOVE9SWV9PVVQuRlkyMDI0LjMxLzEyLzIwMjUBAAAAHaUCAAMAAAAAADRlRSsBsd4Iwai2PgGx3gg6Q0lRLk5BU0RBUUdTOkNNQ1NBLklRX0RBWVNfSU5WRU5UT1JZX09VVC5GWTIwMjUuMzEvMTIvMjAyNQEAAAAdpQIAAwAAAAAANGVFKwGx3gjBqLY+AbHeCDVDSVEuTkFTREFRR1M6TkZMWC5JUV9EQVlTX1NBTEVTX09VVC5GWTIwMTUuMzEvMTIvMjAyNQEAAAAMfQAAAwAAAAAANGVFKwGx3gjBqLY+AbHeCDVDSVEuTkFTREFRR1M6TkZMWC5JUV9EQVlTX1NBTEVTX09VVC5GWTIwMTYuMzEv</t>
  </si>
  <si>
    <t>MTIvMjAyNQEAAAAMfQAAAwAAAAAANGVFKwGx3gjBqLY+AbHeCDVDSVEuTkFTREFRR1M6TkZMWC5JUV9EQVlTX1NBTEVTX09VVC5GWTIwMTcuMzEvMTIvMjAyNQEAAAAMfQAAAwAAAAAANGVFKwGx3gjBqLY+AbHeCDVDSVEuTkFTREFRR1M6TkZMWC5JUV9EQVlTX1NBTEVTX09VVC5GWTIwMTguMzEvMTIvMjAyNQEAAAAMfQAAAwAAAAAANGVFKwGx3gjBqLY+AbHeCDVDSVEuTkFTREFRR1M6TkZMWC5JUV9EQVlTX1NBTEVTX09VVC5GWTIwMTkuMzEvMTIvMjAyNQEAAAAMfQAAAgAAAAg3LjM5ODE4NQEIAAAABQAAAAExAQAAAAstMjExNDUyNTA5OQMAAAADMTYwAgAAAAQ0MDQyBAAAAAEwBwAAAAoxMi8zMS8yMDI1CAAAAAoxMi8zMS8yMDE5CQAAAAEwNGVFKwGx3gjBqLY+AbHeCDVDSVEuTkFTREFRR1M6TkZMWC5JUV9EQVlTX1NBTEVTX09VVC5GWTIwMjAuMzEvMTIvMjAyNQEAAAAMfQAAAgAAAAg3Ljc5ODM2MgEIAAAABQAAAAExAQAAAAstMjExNDUyNTA4NwMAAAADMTYwAgAAAAQ0MDQyBAAAAAEwBwAAAAoxMi8zMS8yMDI1CAAAAAoxMi8zMS8yMDIwCQAAAAEwNGVFKwGx3gjBqLY+AbHeCDVDSVEuTkFTREFRR1M6TkZMWC5JUV9EQVlTX1NBTEVTX09VVC5GWTIwMjEuMzEvMTIvMjAyNQEAAAAMfQAAAgAAAAg4LjY5NjEyNQEIAAAABQAAAAExAQAAAAstMjAxMjQxNTc3NgMAAAADMTYwAgAAAAQ0MDQyBAAA</t>
  </si>
  <si>
    <t>AAEwBwAAAAoxMi8zMS8yMDI1CAAAAAoxMi8zMS8yMDIxCQAAAAEwNGVFKwGx3gjBqLY+AbHeCDVDSVEuTkFTREFRR1M6TkZMWC5JUV9EQVlTX1NBTEVTX09VVC5GWTIwMjIuMzEvMTIvMjAyNQEAAAAMfQAAAgAAAAkxMC4zNTEwMzUBCAAAAAUAAAABMQEAAAALLTE5NjE4MjQ5NzADAAAAAzE2MAIAAAAENDA0MgQAAAABMAcAAAAKMTIvMzEvMjAyNQgAAAAKMTIvMzEvMjAyMgkAAAABMDRlRSsBsd4Iwai2PgGx3gg1Q0lRLk5BU0RBUUdTOk5GTFguSVFfREFZU19TQUxFU19PVVQuRlkyMDIzLjMxLzEyLzIwMjUBAAAADH0AAAIAAAAIMTIuMzE2NTYBCAAAAAUAAAABMQEAAAALLTE5NjE4MjQ5NjkDAAAAAzE2MAIAAAAENDA0MgQAAAABMAcAAAAKMTIvMzEvMjAyNQgAAAAKMTIvMzEvMjAyMwkAAAABMDRlRSsBsd4Iwai2PgGx3gg1Q0lRLk5BU0RBUUdTOk5GTFguSVFfREFZU19TQUxFU19PVVQuRlkyMDI0LjMxLzEyLzIwMjUBAAAADH0AAAIAAAAJMTIuMzA0NTU0AQgAAAAFAAAAATEBAAAACy0xOTYxODI0OTY3AwAAAAMxNjACAAAABDQwNDIEAAAAATAHAAAACjEyLzMxLzIwMjUIAAAACjEyLzMxLzIwMjQJAAAAATA0ZUUrAbHeCMGotj4Bsd4INUNJUS5OQVNEQVFHUzpORkxYLklRX0RBWVNfU0FMRVNfT1VULkZZMjAyNS4zMS8xMi8yMDI1AQAAAAx9AAADAAAAAAA0ZUUrAbHeCMGotj4Bsd4IMUNJUS5OWVNF</t>
  </si>
  <si>
    <t>OlNQT1QuSVFfREFZU19TQUxFU19PVVQuRlkyMDE1LjMxLzEyLzIwMjUBAAAAxU5yDQMAAAAAADRlRSsBsd4Iwai2PgGx3ggxQ0lRLk5ZU0U6U1BPVC5JUV9EQVlTX1NBTEVTX09VVC5GWTIwMTYuMzEvMTIvMjAyNQEAAADFTnINAgAAAAkyOC45NDk4NjgBCAAAAAUAAAABMQEAAAAKMTk0NDUzOTczMAMAAAACNTACAAAABDQwNDIEAAAAATAHAAAACjEyLzMxLzIwMjUIAAAACjEyLzMxLzIwMTYJAAAAATA0ZUUrAbHeCMGotj4Bsd4IMUNJUS5OWVNFOlNQT1QuSVFfREFZU19TQUxFU19PVVQuRlkyMDE3LjMxLzEyLzIwMjUBAAAAxU5yDQIAAAAJMjIuMDg3MjQ1AQgAAAAFAAAAATEBAAAACjIwMTMxODU5MDYDAAAAAjUwAgAAAAQ0MDQyBAAAAAEwBwAAAAoxMi8zMS8yMDI1CAAAAAoxMi8zMS8yMDE3CQAAAAEwNGVFKwGx3gjBqLY+AbHeCDFDSVEuTllTRTpTUE9ULklRX0RBWVNfU0FMRVNfT1VULkZZMjAxOC4zMS8xMi8yMDI1AQAAAMVOcg0CAAAACTE4LjkxMjQ3NQEIAAAABQAAAAExAQAAAAoyMDc4OTU0MzQ5AwAAAAI1MAIAAAAENDA0MgQAAAABMAcAAAAKMTIvMzEvMjAyNQgAAAAKMTIvMzEvMjAxOAkAAAABMDRlRSsBsd4Iwai2PgGx3ggxQ0lRLk5ZU0U6U1BPVC5JUV9EQVlTX1NBTEVTX09VVC5GWTIwMTkuMzEvMTIvMjAyNQEAAADFTnINAgAAAAgxNS4zNzg5MQEIAAAABQAAAAExAQAAAAstMjExMzc3</t>
  </si>
  <si>
    <t>MDA1MgMAAAACNTACAAAABDQwNDIEAAAAATAHAAAACjEyLzMxLzIwMjUIAAAACjEyLzMxLzIwMTkJAAAAATA0ZUUrAbHeCMGotj4Bsd4IMUNJUS5OWVNFOlNQT1QuSVFfREFZU19TQUxFU19PVVQuRlkyMDIwLjMxLzEyLzIwMjUBAAAAxU5yDQIAAAAJMTQuMzA1NDc2AQgAAAAFAAAAATEBAAAACy0yMDYyNDQzMzc5AwAAAAI1MAIAAAAENDA0MgQAAAABMAcAAAAKMTIvMzEvMjAyNQgAAAAKMTIvMzEvMjAyMAkAAAABMDRlRSsBsd4Iwai2PgGx3ggxQ0lRLk5ZU0U6U1BPVC5JUV9EQVlTX1NBTEVTX09VVC5GWTIwMjEuMzEvMTIvMjAyNQEAAADFTnINAgAAAAgxNC4yNzA3NwEIAAAABQAAAAExAQAAAAstMjAxMDk5OTM0NQMAAAACNTACAAAABDQwNDIEAAAAATAHAAAACjEyLzMxLzIwMjUIAAAACjEyLzMxLzIwMjEJAAAAATA0ZUUrAbHeCMGotj4Bsd4IMUNJUS5OWVNFOlNQT1QuSVFfREFZU19TQUxFU19PVVQuRlkyMDIyLjMxLzEyLzIwMjUBAAAAxU5yDQIAAAAJMTQuNjEyNzc1AQgAAAAFAAAAATEBAAAACy0xOTYwOTAxOTEyAwAAAAI1MAIAAAAENDA0MgQAAAABMAcAAAAKMTIvMzEvMjAyNQgAAAAKMTIvMzEvMjAyMgkAAAABMDRlRSsBsd4Iwai2PgGx3ggxQ0lRLk5ZU0U6U1BPVC5JUV9EQVlTX1NBTEVTX09VVC5GWTIwMjMuMzEvMTIvMjAyNQEAAADFTnINAgAAAAkxNS4yMDkxODUBCAAAAAUAAAABMQEA</t>
  </si>
  <si>
    <t>AAALLTE5NjA5MDE4OTMDAAAAAjUwAgAAAAQ0MDQyBAAAAAEwBwAAAAoxMi8zMS8yMDI1CAAAAAoxMi8zMS8yMDIzCQAAAAEwNGVFKwGx3gjBqLY+AbHeCDFDSVEuTllTRTpTUE9ULklRX0RBWVNfU0FMRVNfT1VULkZZMjAyNC4zMS8xMi8yMDI1AQAAAMVOcg0CAAAACTEzLjMzNDExMgEIAAAABQAAAAExAQAAAAstMTk2MDkwMTkxNAMAAAACNTACAAAABDQwNDIEAAAAATAHAAAACjEyLzMxLzIwMjUIAAAACjEyLzMxLzIwMjQJAAAAATA0ZUUrAbHeCMGotj4Bsd4IMUNJUS5OWVNFOlNQT1QuSVFfREFZU19TQUxFU19PVVQuRlkyMDI1LjMxLzEyLzIwMjUBAAAAxU5yDQMAAAAAADRlRSsBsd4Iwai2PgGx3gg1Q0lRLk5BU0RBUUdTOlJPS1UuSVFfREFZU19TQUxFU19PVVQuRlkyMDE1LjMxLzEyLzIwMjUBAAAASZqEAAMAAAAAADRlRSsBsd4Iwai2PgGx3gg1Q0lRLk5BU0RBUUdTOlJPS1UuSVFfREFZU19TQUxFU19PVVQuRlkyMDE2LjMxLzEyLzIwMjUBAAAASZqEAAIAAAAJNjEuODU0MjMzAQgAAAAFAAAAATEBAAAACjE5NDgwNjQ5NjgDAAAAAzE2MAIAAAAENDA0MgQAAAABMAcAAAAKMTIvMzEvMjAyNQgAAAAKMTIvMzEvMjAxNgkAAAABMDRlRSsBsd4Iwai2PgGx3gg1Q0lRLk5BU0RBUUdTOlJPS1UuSVFfREFZU19TQUxFU19PVVQuRlkyMDE3LjMxLzEyLzIwMjUBAAAASZqEAAIAAAAJNzIuNjU1ODA1AQgA</t>
  </si>
  <si>
    <t>AAAFAAAAATEBAAAACjIwMTg4NTAzNjIDAAAAAzE2MAIAAAAENDA0MgQAAAABMAcAAAAKMTIvMzEvMjAyNQgAAAAKMTIvMzEvMjAxNwkAAAABMDRlRSsBsd4Iwai2PgGx3gg1Q0lRLk5BU0RBUUdTOlJPS1UuSVFfREFZU19TQUxFU19PVVQuRlkyMDE4LjMxLzEyLzIwMjUBAAAASZqEAAIAAAAHNzUuODI1MQEIAAAABQAAAAExAQAAAAoyMDgyMTAwNDg4AwAAAAMxNjACAAAABDQwNDIEAAAAATAHAAAACjEyLzMxLzIwMjUIAAAACjEyLzMxLzIwMTgJAAAAATA0ZUUrAbHeCMGotj4Bsd4INUNJUS5OQVNEQVFHUzpST0tVLklRX0RBWVNfU0FMRVNfT1VULkZZMjAxOS4zMS8xMi8yMDI1AQAAAEmahAACAAAACTg0LjA3NzM4NQEIAAAABQAAAAExAQAAAAstMjExMTYyOTk5NgMAAAADMTYwAgAAAAQ0MDQyBAAAAAEwBwAAAAoxMi8zMS8yMDI1CAAAAAoxMi8zMS8yMDE5CQAAAAEwNGVFKwGx3gi5RbQ+AbHeCDVDSVEuTkFTREFRR1M6Uk9LVS5JUV9EQVlTX1NBTEVTX09VVC5GWTIwMjAuMzEvMTIvMjAyNQEAAABJmoQAAgAAAAk4OS4yNzIxNTgBCAAAAAUAAAABMQEAAAALLTIwNjA2MzM3NjgDAAAAAzE2MAIAAAAENDA0MgQAAAABMAcAAAAKMTIvMzEvMjAyNQgAAAAKMTIvMzEvMjAyMAkAAAABMDRlRSsBsd4IuUW0PgGx3gg1Q0lRLk5BU0RBUUdTOlJPS1UuSVFfREFZU19TQUxFU19PVVQuRlkyMDIxLjMxLzEyLzIw</t>
  </si>
  <si>
    <t>MjUBAAAASZqEAAIAAAAIODcuODM5NDQBCAAAAAUAAAABMQEAAAALLTIwMDk5Mjc5NDQDAAAAAzE2MAIAAAAENDA0MgQAAAABMAcAAAAKMTIvMzEvMjAyNQgAAAAKMTIvMzEvMjAyMQkAAAABMDRlRSsBsd4IuUW0PgGx3gg1Q0lRLk5BU0RBUUdTOlJPS1UuSVFfREFZU19TQUxFU19PVVQuRlkyMDIyLjMxLzEyLzIwMjUBAAAASZqEAAIAAAAIOTMuNTU0NjEBCAAAAAUAAAABMQEAAAALLTE5NTk0ODYxOTMDAAAAAzE2MAIAAAAENDA0MgQAAAABMAcAAAAKMTIvMzEvMjAyNQgAAAAKMTIvMzEvMjAyMgkAAAABMDRlRSsBsd4IuUW0PgGx3gg1Q0lRLk5BU0RBUUdTOlJPS1UuSVFfREFZU19TQUxFU19PVVQuRlkyMDIzLjMxLzEyLzIwMjUBAAAASZqEAAIAAAAJODUuNzcxNzE1AQgAAAAFAAAAATEBAAAACy0xOTU5NDg2MTk2AwAAAAMxNjACAAAABDQwNDIEAAAAATAHAAAACjEyLzMxLzIwMjUIAAAACjEyLzMxLzIwMjMJAAAAATA0ZUUrAbHeCLlFtD4Bsd4INUNJUS5OQVNEQVFHUzpST0tVLklRX0RBWVNfU0FMRVNfT1VULkZZMjAyNC4zMS8xMi8yMDI1AQAAAEmahAACAAAACDczLjM0ODIzAQgAAAAFAAAAATEBAAAACy0xOTU5NDg2MTkwAwAAAAMxNjACAAAABDQwNDIEAAAAATAHAAAACjEyLzMxLzIwMjUIAAAACjEyLzMxLzIwMjQJAAAAATA0ZUUrAbHeCLlFtD4Bsd4INUNJUS5OQVNEQVFHUzpST0tVLklRX0RB</t>
  </si>
  <si>
    <t>WVNfU0FMRVNfT1VULkZZMjAyNS4zMS8xMi8yMDI1AQAAAEmahAADAAAAAAA0ZUUrAbHeCLlFtD4Bsd4IM0NJUS5OQVNEQVFHUzpJUS5JUV9EQVlTX1NBTEVTX09VVC5GWTIwMTUuMzEvMTIvMjAyNQEAAADCKOUFAwAAAAAANGVFKwGx3gjBqLY+AbHeCDNDSVEuTkFTREFRR1M6SVEuSVFfREFZU19TQUxFU19PVVQuRlkyMDE2LjMxLzEyLzIwMjUBAAAAwijlBQIAAAAJNjEuNDM4MjI0AQgAAAAFAAAAATEBAAAACjE5NDk4MTczMTMDAAAAAjMyAgAAAAQ0MDQyBAAAAAEwBwAAAAoxMi8zMS8yMDI1CAAAAAoxMi8zMS8yMDE2CQAAAAEwNGVFKwGx3gjBqLY+AbHeCDNDSVEuTkFTREFRR1M6SVEuSVFfREFZU19TQUxFU19PVVQuRlkyMDE3LjMxLzEyLzIwMjUBAAAAwijlBQIAAAAHNDYuOTY4MgEIAAAABQAAAAExAQAAAAoyMDIxNTgxNDYzAwAAAAIzMgIAAAAENDA0MgQAAAABMAcAAAAKMTIvMzEvMjAyNQgAAAAKMTIvMzEvMjAxNwkAAAABMDRlRSsBsd4Iwai2PgGx3ggzQ0lRLk5BU0RBUUdTOklRLklRX0RBWVNfU0FMRVNfT1VULkZZMjAxOC4zMS8xMi8yMDI1AQAAAMIo5QUCAAAACTU1LjUxNjEzNQEIAAAABQAAAAExAQAAAAoyMDgzNjgxMTM0AwAAAAIzMgIAAAAENDA0MgQAAAABMAcAAAAKMTIvMzEvMjAyNQgAAAAKMTIvMzEvMjAxOAkAAAABMDRlRSsBsd4Iwai2PgGx3ggzQ0lRLk5BU0RBUUdTOklRLklR</t>
  </si>
  <si>
    <t>X0RBWVNfU0FMRVNfT1VULkZZMjAxOS4zMS8xMi8yMDI1AQAAAMIo5QUCAAAACDcyLjkzMzU3AQgAAAAFAAAAATEBAAAACy0yMTA2NjA0MDk5AwAAAAIzMgIAAAAENDA0MgQAAAABMAcAAAAKMTIvMzEvMjAyNQgAAAAKMTIvMzEvMjAxOQkAAAABMDRlRSsBsd4Iwai2PgGx3ggzQ0lRLk5BU0RBUUdTOklRLklRX0RBWVNfU0FMRVNfT1VULkZZMjAyMC4zMS8xMi8yMDI1AQAAAMIo5QUCAAAACTc0LjQwMDExNAEIAAAABQAAAAExAQAAAAstMjA1NjA5MDMzNAMAAAACMzICAAAABDQwNDIEAAAAATAHAAAACjEyLzMxLzIwMjUIAAAACjEyLzMxLzIwMjAJAAAAATA0ZUUrAbHeCMGotj4Bsd4IM0NJUS5OQVNEQVFHUzpJUS5JUV9EQVlTX1NBTEVTX09VVC5GWTIwMjEuMzEvMTIvMjAyNQEAAADCKOUFAgAAAAk2NC4zNDI1NjUBCAAAAAUAAAABMQEAAAALLTIwMDYxMDkxMzYDAAAAAjMyAgAAAAQ0MDQyBAAAAAEwBwAAAAoxMi8zMS8yMDI1CAAAAAoxMi8zMS8yMDIxCQAAAAEwNGVFKwGx3gjBqLY+AbHeCDNDSVEuTkFTREFRR1M6SVEuSVFfREFZU19TQUxFU19PVVQuRlkyMDIyLjMxLzEyLzIwMjUBAAAAwijlBQIAAAAJNjAuNTI2MTI1AQgAAAAFAAAAATEBAAAACy0xOTU0MDgxMTY0AwAAAAIzMgIAAAAENDA0MgQAAAABMAcAAAAKMTIvMzEvMjAyNQgAAAAKMTIvMzEvMjAyMgkAAAABMDRlRSsBsd4Iwai2PgGx3ggz</t>
  </si>
  <si>
    <t>Q0lRLk5BU0RBUUdTOklRLklRX0RBWVNfU0FMRVNfT1VULkZZMjAyMy4zMS8xMi8yMDI1AQAAAMIo5QUCAAAACDUwLjU2NzgzAQgAAAAFAAAAATEBAAAACy0xOTU0MDgxMTYzAwAAAAIzMgIAAAAENDA0MgQAAAABMAcAAAAKMTIvMzEvMjAyNQgAAAAKMTIvMzEvMjAyMwkAAAABMDRlRSsBsd4Iwai2PgGx3ggzQ0lRLk5BU0RBUUdTOklRLklRX0RBWVNfU0FMRVNfT1VULkZZMjAyNC4zMS8xMi8yMDI1AQAAAMIo5QUCAAAACDUzLjM0ODE2AQgAAAAFAAAAATEBAAAACy0xOTU0MDgxMTYxAwAAAAIzMgIAAAAENDA0MgQAAAABMAcAAAAKMTIvMzEvMjAyNQgAAAAKMTIvMzEvMjAyNAkAAAABMDRlRSsBsd4Iwai2PgGx3ggzQ0lRLk5BU0RBUUdTOklRLklRX0RBWVNfU0FMRVNfT1VULkZZMjAyNS4zMS8xMi8yMDI1AQAAAMIo5QUDAAAAAAA0ZUUrAbHeCMGotj4Bsd4INUNJUS5OQVNEQVFHUzpCSUxJLklRX0RBWVNfU0FMRVNfT1VULkZZMjAxNS4zMS8xMi8yMDI1AQAAACJcZREDAAAAAAA0ZUUrAbHeCLlFtD4Bsd4INUNJUS5OQVNEQVFHUzpCSUxJLklRX0RBWVNfU0FMRVNfT1VULkZZMjAxNi4zMS8xMi8yMDI1AQAAACJcZRECAAAACTQ0LjUxODA0NAEIAAAABQAAAAExAQAAAAoxOTUxNzIxODAzAwAAAAIzMgIAAAAENDA0MgQAAAABMAcAAAAKMTIvMzEvMjAyNQgAAAAKMTIvMzEvMjAxNgkAAAABMDRlRSsBsd4I</t>
  </si>
  <si>
    <t>uUW0PgGx3gg1Q0lRLk5BU0RBUUdTOkJJTEkuSVFfREFZU19TQUxFU19PVVQuRlkyMDE3LjMxLzEyLzIwMjUBAAAAIlxlEQIAAAAIMzcuMjMyOTIBCAAAAAUAAAABMQEAAAAKMjAyNDMwNDI3MwMAAAACMzICAAAABDQwNDIEAAAAATAHAAAACjEyLzMxLzIwMjUIAAAACjEyLzMxLzIwMTcJAAAAATA0ZUUrAbHeCLlFtD4Bsd4INUNJUS5OQVNEQVFHUzpCSUxJLklRX0RBWVNfU0FMRVNfT1VULkZZMjAxOC4zMS8xMi8yMDI1AQAAACJcZRECAAAACDMxLjcwNjA5AQgAAAAFAAAAATEBAAAACjIwODMyOTk3MDIDAAAAAjMyAgAAAAQ0MDQyBAAAAAEwBwAAAAoxMi8zMS8yMDI1CAAAAAoxMi8zMS8yMDE4CQAAAAEwNGVFKwGx3gi5RbQ+AbHeCDVDSVEuTkFTREFRR1M6QklMSS5JUV9EQVlTX1NBTEVTX09VVC5GWTIwMTkuMzEvMTIvMjAyNQEAAAAiXGURAgAAAAgyOC43ODk3NAEIAAAABQAAAAExAQAAAAstMjEwMTUwMjQ1MQMAAAACMzICAAAABDQwNDIEAAAAATAHAAAACjEyLzMxLzIwMjUIAAAACjEyLzMxLzIwMTkJAAAAATA0ZUUrAbHeCLlFtD4Bsd4INUNJUS5OQVNEQVFHUzpCSUxJLklRX0RBWVNfU0FMRVNfT1VULkZZMjAyMC4zMS8xMi8yMDI1AQAAACJcZRECAAAACTI3LjQyOTEzOAEIAAAABQAAAAExAQAAAAstMjA0OTAzMTYzMwMAAAACMzICAAAABDQwNDIEAAAAATAHAAAACjEyLzMxLzIwMjUIAAAACjEy</t>
  </si>
  <si>
    <t>LzMxLzIwMjAJAAAAATA0ZUUrAbHeCLlFtD4Bsd4INUNJUS5OQVNEQVFHUzpCSUxJLklRX0RBWVNfU0FMRVNfT1VULkZZMjAyMS4zMS8xMi8yMDI1AQAAACJcZRECAAAACTIyLjkzNDc3NQEIAAAABQAAAAExAQAAAAstMjAwMjM5ODU1NQMAAAACMzICAAAABDQwNDIEAAAAATAHAAAACjEyLzMxLzIwMjUIAAAACjEyLzMxLzIwMjEJAAAAATA0ZUUrAbHeCLlFtD4Bsd4INUNJUS5OQVNEQVFHUzpCSUxJLklRX0RBWVNfU0FMRVNfT1VULkZZMjAyMi4zMS8xMi8yMDI1AQAAACJcZRECAAAACTIyLjU5MTY3NQEIAAAABQAAAAExAQAAAAstMTk1NDQ4NDQ0MQMAAAACMzICAAAABDQwNDIEAAAAATAHAAAACjEyLzMxLzIwMjUIAAAACjEyLzMxLzIwMjIJAAAAATA0ZUUrAbHeCLlFtD4Bsd4INUNJUS5OQVNEQVFHUzpCSUxJLklRX0RBWVNfU0FMRVNfT1VULkZZMjAyMy4zMS8xMi8yMDI1AQAAACJcZRECAAAACTIzLjUxMjkzNQEIAAAABQAAAAExAQAAAAstMTk1NDQ4NDQ0OAMAAAACMzICAAAABDQwNDIEAAAAATAHAAAACjEyLzMxLzIwMjUIAAAACjEyLzMxLzIwMjMJAAAAATA0ZUUrAbHeCLlFtD4Bsd4INUNJUS5OQVNEQVFHUzpCSUxJLklRX0RBWVNfU0FMRVNfT1VULkZZMjAyNC4zMS8xMi8yMDI1AQAAACJcZRECAAAACTE5LjEwMTkwNgEIAAAABQAAAAExAQAAAAstMTk1NDQ4NDQ1MgMAAAACMzICAAAABDQwNDIE</t>
  </si>
  <si>
    <t>AAAAATAHAAAACjEyLzMxLzIwMjUIAAAACjEyLzMxLzIwMjQJAAAAATA0ZUUrAbHeCLlFtD4Bsd4INUNJUS5OQVNEQVFHUzpCSUxJLklRX0RBWVNfU0FMRVNfT1VULkZZMjAyNS4zMS8xMi8yMDI1AQAAACJcZREDAAAAAAA0ZUUrAbHeCLlFtD4Bsd4IMENJUS5OWVNFOkRJUy5JUV9EQVlTX1NBTEVTX09VVC5GWTIwMTUuMzEvMTIvMjAyNQEAAABM7AIAAgAAAAk1Mi4wODA2MDkBCAAAAAUAAAABMQEAAAAKMTg2NzI5ODAxOAMAAAADMTYwAgAAAAQ0MDQyBAAAAAEwBwAAAAoxMi8zMS8yMDI1CAAAAAkxMC8zLzIwMTUJAAAAATA0ZUUrAbHeCMGotj4Bsd4IMENJUS5OWVNFOkRJUy5JUV9EQVlTX1NBTEVTX09VVC5GWTIwMTYuMzEvMTIvMjAyNQEAAABM7AIAAgAAAAk1MS41NjIwNTYBCAAAAAUAAAABMQEAAAAKMTkyNTI5NTQyOQMAAAADMTYwAgAAAAQ0MDQyBAAAAAEwBwAAAAoxMi8zMS8yMDI1CAAAAAkxMC8xLzIwMTYJAAAAATA0ZUUrAbHeCMGotj4Bsd4IMENJUS5OWVNFOkRJUy5JUV9EQVlTX1NBTEVTX09VVC5GWTIwMTcuMzEvMTIvMjAyNQEAAABM7AIAAgAAAAg1MS45MTkxNAEIAAAABQAAAAExAQAAAAoxOTkzODU5NDEzAwAAAAMxNjACAAAABDQwNDIEAAAAATAHAAAACjEyLzMxLzIwMjUIAAAACTkvMzAvMjAxNwkAAAABMDRlRSsBsd4Iwai2PgGx3ggwQ0lRLk5ZU0U6RElTLklRX0RBWVNfU0FMRVNf</t>
  </si>
  <si>
    <t>T1VULkZZMjAxOC4zMS8xMi8yMDI1AQAAAEzsAgACAAAACTQ3LjQ2NDE0NAEIAAAABQAAAAExAQAAAAoyMDcyOTExNTI5AwAAAAMxNjACAAAABDQwNDIEAAAAATAHAAAACjEyLzMxLzIwMjUIAAAACTkvMjkvMjAxOAkAAAABMDRlRSsBsd4Iwai2PgGx3ggwQ0lRLk5ZU0U6RElTLklRX0RBWVNfU0FMRVNfT1VULkZZMjAxOS4zMS8xMi8yMDI1AQAAAEzsAgACAAAACTU0LjAyNzA2NAEIAAAABQAAAAExAQAAAAstMjExOTI5Mjk1MAMAAAADMTYwAgAAAAQ0MDQyBAAAAAEwBwAAAAoxMi8zMS8yMDI1CAAAAAk5LzI4LzIwMTkJAAAAATA0ZUUrAbHeCMGotj4Bsd4IMENJUS5OWVNFOkRJUy5JUV9EQVlTX1NBTEVTX09VVC5GWTIwMjAuMzEvMTIvMjAyNQEAAABM7AIAAgAAAAg2Ni41NTM2OQEIAAAABQAAAAExAQAAAAstMjA2Njc5Mjg2MwMAAAADMTYwAgAAAAQ0MDQyBAAAAAEwBwAAAAoxMi8zMS8yMDI1CAAAAAkxMC8zLzIwMjAJAAAAATA0ZUUrAbHeCMGotj4Bsd4IMENJUS5OWVNFOkRJUy5JUV9EQVlTX1NBTEVTX09VVC5GWTIwMjEuMzEvMTIvMjAyNQEAAABM7AIAAgAAAAk1OS4wNjY2NDQBCAAAAAUAAAABMQEAAAALLTIwMTc1MDgyNTgDAAAAAzE2MAIAAAAENDA0MgQAAAABMAcAAAAKMTIvMzEvMjAyNQgAAAAJMTAvMi8yMDIxCQAAAAEwNGVFKwGx3gjBqLY+AbHeCDBDSVEuTllTRTpESVMuSVFfREFZU19T</t>
  </si>
  <si>
    <t>QUxFU19PVVQuRlkyMDIyLjMxLzEyLzIwMjUBAAAATOwCAAIAAAAINDcuNjU0ODgBCAAAAAUAAAABMQEAAAALLTE5NjkwMDYzODUDAAAAAzE2MAIAAAAENDA0MgQAAAABMAcAAAAKMTIvMzEvMjAyNQgAAAAJMTAvMS8yMDIyCQAAAAEwNGVFKwGx3gjBqLY+AbHeCDBDSVEuTllTRTpESVMuSVFfREFZU19TQUxFU19PVVQuRlkyMDIzLjMxLzEyLzIwMjUBAAAATOwCAAIAAAAJNDIuNDEzNjQ0AQgAAAAFAAAAATEBAAAACy0xOTE3MDE2MTE2AwAAAAMxNjACAAAABDQwNDIEAAAAATAHAAAACjEyLzMxLzIwMjUIAAAACTkvMzAvMjAyMwkAAAABMDRlRSsBsd4Iwai2PgGx3ggwQ0lRLk5ZU0U6RElTLklRX0RBWVNfU0FMRVNfT1VULkZZMjAyNC4zMS8xMi8yMDI1AQAAAEzsAgACAAAACTQwLjQ4MzM1MgEIAAAABQAAAAExAQAAAAstMTkxNzAxNjEyOAMAAAADMTYwAgAAAAQ0MDQyBAAAAAEwBwAAAAoxMi8zMS8yMDI1CAAAAAk5LzI4LzIwMjQJAAAAATA0ZUUrAbHeCMGotj4Bsd4IMENJUS5OWVNFOkRJUy5JUV9EQVlTX1NBTEVTX09VVC5GWTIwMjUuMzEvMTIvMjAyNQEAAABM7AIAAgAAAAkzOS43MDkxMjQBCAAAAAUAAAABMQEAAAALLTE5MTcwMTYxNTEDAAAAAzE2MAIAAAAENDA0MgQAAAABMAcAAAAKMTIvMzEvMjAyNQgAAAAJOS8yNy8yMDI1CQAAAAEwNGVFKwGx3gjBqLY+AbHeCDRDSVEuTkFTREFRR1M6V0JE</t>
  </si>
  <si>
    <t>LklRX0RBWVNfU0FMRVNfT1VULkZZMjAxNS4zMS8xMi8yMDI1AQAAAG3bWQECAAAACTg3LjUyMjk4NQEIAAAABQAAAAExAQAAAAoxODc3MjM2NzI5AwAAAAMxNjACAAAABDQwNDIEAAAAATAHAAAACjEyLzMxLzIwMjUIAAAACjEyLzMxLzIwMTUJAAAAATA0ZUUrAbHeCLlFtD4Bsd4INENJUS5OQVNEQVFHUzpXQkQuSVFfREFZU19TQUxFU19PVVQuRlkyMDE2LjMxLzEyLzIwMjUBAAAAbdtZAQIAAAAJODguMDIyMjY4AQgAAAAFAAAAATEBAAAACjE5NDgwOTg5MTQDAAAAAzE2MAIAAAAENDA0MgQAAAABMAcAAAAKMTIvMzEvMjAyNQgAAAAKMTIvMzEvMjAxNgkAAAABMDRlRSsBsd4IuUW0PgGx3gg0Q0lRLk5BU0RBUUdTOldCRC5JUV9EQVlTX1NBTEVTX09VVC5GWTIwMTcuMzEvMTIvMjAyNQEAAABt21kBAgAAAAg5Mi45MDg1NgEIAAAABQAAAAExAQAAAAoyMDE4MTA0NjAxAwAAAAMxNjACAAAABDQwNDIEAAAAATAHAAAACjEyLzMxLzIwMjUIAAAACjEyLzMxLzIwMTcJAAAAATA0ZUUrAbHeCLlFtD4Bsd4INENJUS5OQVNEQVFHUzpXQkQuSVFfREFZU19TQUxFU19PVVQuRlkyMDE4LjMxLzEyLzIwMjUBAAAAbdtZAQIAAAAIODAuOTM3MjkBCAAAAAUAAAABMQEAAAAKMjA4MTMwMjM2MwMAAAADMTYwAgAAAAQ0MDQyBAAAAAEwBwAAAAoxMi8zMS8yMDI1CAAAAAoxMi8zMS8yMDE4CQAAAAEwNGVFKwGx3gi5RbQ+</t>
  </si>
  <si>
    <t>AbHeCDRDSVEuTkFTREFRR1M6V0JELklRX0RBWVNfU0FMRVNfT1VULkZZMjAxOS4zMS8xMi8yMDI1AQAAAG3bWQECAAAACDg4LjEyMTIyAQgAAAAFAAAAATEBAAAACy0yMTEwNjc3ODYwAwAAAAMxNjACAAAABDQwNDIEAAAAATAHAAAACjEyLzMxLzIwMjUIAAAACjEyLzMxLzIwMTkJAAAAATA0ZUUrAbHeCLlFtD4Bsd4INENJUS5OQVNEQVFHUzpXQkQuSVFfREFZU19TQUxFU19PVVQuRlkyMDIwLjMxLzEyLzIwMjUBAAAAbdtZAQIAAAAJOTIuMjMxMjY4AQgAAAAFAAAAATEBAAAACy0yMDU5NjQ5ODg2AwAAAAMxNjACAAAABDQwNDIEAAAAATAHAAAACjEyLzMxLzIwMjUIAAAACjEyLzMxLzIwMjAJAAAAATA0ZUUrAbHeCLlFtD4Bsd4INENJUS5OQVNEQVFHUzpXQkQuSVFfREFZU19TQUxFU19PVVQuRlkyMDIxLjMxLzEyLzIwMjUBAAAAbdtZAQIAAAAJNzkuNzk5NTg1AQgAAAAFAAAAATEBAAAACy0yMDA4ODY3Nzk0AwAAAAMxNjACAAAABDQwNDIEAAAAATAHAAAACjEyLzMxLzIwMjUIAAAACjEyLzMxLzIwMjEJAAAAATA0ZUUrAbHeCLlFtD4Bsd4INENJUS5OQVNEQVFHUzpXQkQuSVFfREFZU19TQUxFU19PVVQuRlkyMDIyLjMxLzEyLzIwMjUBAAAAbdtZAQIAAAAJNTIuMTAyNjU1AQgAAAAFAAAAATEBAAAACy0xOTU3NDYxOTExAwAAAAMxNjACAAAABDQwNDIEAAAAATAHAAAACjEyLzMxLzIwMjUIAAAACjEy</t>
  </si>
  <si>
    <t>LzMxLzIwMjIJAAAAATA0ZUUrAbHeCLlFtD4Bsd4INENJUS5OQVNEQVFHUzpXQkQuSVFfREFZU19TQUxFU19PVVQuRlkyMDIzLjMxLzEyLzIwMjUBAAAAbdtZAQIAAAAJNTcuNTY4MTY1AQgAAAAFAAAAATEBAAAACy0xOTU3NDYxOTU2AwAAAAMxNjACAAAABDQwNDIEAAAAATAHAAAACjEyLzMxLzIwMjUIAAAACjEyLzMxLzIwMjMJAAAAATA0ZUUrAbHeCLlFtD4Bsd4INENJUS5OQVNEQVFHUzpXQkQuSVFfREFZU19TQUxFU19PVVQuRlkyMDI0LjMxLzEyLzIwMjUBAAAAbdtZAQIAAAAJNTUuNDM3NjU0AQgAAAAFAAAAATEBAAAACy0xOTU3NDYxOTUzAwAAAAMxNjACAAAABDQwNDIEAAAAATAHAAAACjEyLzMxLzIwMjUIAAAACjEyLzMxLzIwMjQJAAAAATA0ZUUrAbHeCLlFtD4Bsd4INENJUS5OQVNEQVFHUzpXQkQuSVFfREFZU19TQUxFU19PVVQuRlkyMDI1LjMxLzEyLzIwMjUBAAAAbdtZAQMAAAAAADRlRSsBsd4IuUW0PgGx3gg1Q0lRLk5BU0RBUUdTOlBTS1kuSVFfREFZU19TQUxFU19PVVQuRlkyMDE1LjMxLzEyLzIwMjUBAAAAH6KnAQIAAAAIOTguNDI5NTUBCAAAAAUAAAABMQEAAAAKMTg3NTE5NjI2OAMAAAADMTYwAgAAAAQ0MDQyBAAAAAEwBwAAAAoxMi8zMS8yMDI1CAAAAAoxMi8zMS8yMDE1CQAAAAEwNGVFKwGx3gjBqLY+AbHeCDVDSVEuTkFTREFRR1M6UFNLWS5JUV9EQVlTX1NBTEVTX09VVC5G</t>
  </si>
  <si>
    <t>WTIwMTYuMzEvMTIvMjAyNQEAAAAfoqcBAgAAAAg5Mi45NzMxNQEIAAAABQAAAAExAQAAAAoxOTQ1Mjc2ODQ5AwAAAAMxNjACAAAABDQwNDIEAAAAATAHAAAACjEyLzMxLzIwMjUIAAAACjEyLzMxLzIwMTYJAAAAATA0ZUUrAbHeCMGotj4Bsd4INUNJUS5OQVNEQVFHUzpQU0tZLklRX0RBWVNfU0FMRVNfT1VULkZZMjAxNy4zMS8xMi8yMDI1AQAAAB+ipwECAAAACDQ4LjIxOTQyAQgAAAAFAAAAATEBAAAACjIwMTYyMzE3NTIDAAAAAzE2MAIAAAAENDA0MgQAAAABMAcAAAAKMTIvMzEvMjAyNQgAAAAKMTIvMzEvMjAxNwkAAAABMDRlRSsBsd4Iwai2PgGx3gg1Q0lRLk5BU0RBUUdTOlBTS1kuSVFfREFZU19TQUxFU19PVVQuRlkyMDE4LjMxLzEyLzIwMjUBAAAAH6KnAQIAAAAINzUuMjUxMzIBCAAAAAUAAAABMQEAAAAKMjA4MTU4NDkzNwMAAAADMTYwAgAAAAQ0MDQyBAAAAAEwBwAAAAoxMi8zMS8yMDI1CAAAAAoxMi8zMS8yMDE4CQAAAAEwNGVFKwGx3gjBqLY+AbHeCDVDSVEuTkFTREFRR1M6UFNLWS5JUV9EQVlTX1NBTEVTX09VVC5GWTIwMTkuMzEvMTIvMjAyNQEAAAAfoqcBAgAAAAk5NC44Nzk5MjUBCAAAAAUAAAABMQEAAAALLTIxMTIxODY0MTQDAAAAAzE2MAIAAAAENDA0MgQAAAABMAcAAAAKMTIvMzEvMjAyNQgAAAAKMTIvMzEvMjAxOQkAAAABMDRlRSsBsd4Iwai2PgGx3gg1Q0lRLk5BU0RBUUdT</t>
  </si>
  <si>
    <t>OlBTS1kuSVFfREFZU19TQUxFU19PVVQuRlkyMDIwLjMxLzEyLzIwMjUBAAAAH6KnAQIAAAAKMTAwLjI2Nzg5NgEIAAAABQAAAAExAQAAAAstMjA2MDcxNTg5OQMAAAADMTYwAgAAAAQ0MDQyBAAAAAEwBwAAAAoxMi8zMS8yMDI1CAAAAAoxMi8zMS8yMDIwCQAAAAEwNGVFKwGx3gjBqLY+AbHeCDVDSVEuTkFTREFRR1M6UFNLWS5JUV9EQVlTX1NBTEVTX09VVC5GWTIwMjEuMzEvMTIvMjAyNQEAAAAfoqcBAgAAAAg4OS4zODU1OAEIAAAABQAAAAExAQAAAAstMjAwODE5MDY2NwMAAAADMTYwAgAAAAQ0MDQyBAAAAAEwBwAAAAoxMi8zMS8yMDI1CAAAAAoxMi8zMS8yMDIxCQAAAAEwNGVFKwGx3gjBqLY+AbHeCDVDSVEuTkFTREFRR1M6UFNLWS5JUV9EQVlTX1NBTEVTX09VVC5GWTIwMjIuMzEvMTIvMjAyNQEAAAAfoqcBAgAAAAk4Ny4xMjgwNTUBCAAAAAUAAAABMQEAAAALLTE5NTgxNjg3ODADAAAAAzE2MAIAAAAENDA0MgQAAAABMAcAAAAKMTIvMzEvMjAyNQgAAAAKMTIvMzEvMjAyMgkAAAABMDRlRSsBsd4Iwai2PgGx3gg1Q0lRLk5BU0RBUUdTOlBTS1kuSVFfREFZU19TQUxFU19PVVQuRlkyMDIzLjMxLzEyLzIwMjUBAAAAH6KnAQIAAAAIODkuNDA5NjcBCAAAAAUAAAABMQEAAAALLTE5NTgxNjg3NzkDAAAAAzE2MAIAAAAENDA0MgQAAAABMAcAAAAKMTIvMzEvMjAyNQgAAAAKMTIvMzEvMjAyMwkAAAAB</t>
  </si>
  <si>
    <t>MDRlRSsBsd4Iwai2PgGx3gg1Q0lRLk5BU0RBUUdTOlBTS1kuSVFfREFZU19TQUxFU19PVVQuRlkyMDI0LjMxLzEyLzIwMjUBAAAAH6KnAQIAAAAJODcuOTE5Nzg4AQgAAAAFAAAAATEBAAAACy0xOTU4MTY4Nzc4AwAAAAMxNjACAAAABDQwNDIEAAAAATAHAAAACjEyLzMxLzIwMjUIAAAACjEyLzMxLzIwMjQJAAAAATA0ZUUrAbHeCMGotj4Bsd4INUNJUS5OQVNEQVFHUzpQU0tZLklRX0RBWVNfU0FMRVNfT1VULkZZMjAyNS4zMS8xMi8yMDI1AQAAAB+ipwEDAAAAAAA0ZUUrAbHeCMGotj4Bsd4INkNJUS5OQVNEQVFHUzpDTUNTQS5JUV9EQVlTX1NBTEVTX09VVC5GWTIwMTUuMzEvMTIvMjAyNQEAAAAdpQIAAgAAAAgzMi4zNzI1OAEIAAAABQAAAAExAQAAAAoxODcyNzkyNDEyAwAAAAMxNjACAAAABDQwNDIEAAAAATAHAAAACjEyLzMxLzIwMjUIAAAACjEyLzMxLzIwMTUJAAAAATA0ZUUrAbHeCLlFtD4Bsd4INkNJUS5OQVNEQVFHUzpDTUNTQS5JUV9EQVlTX1NBTEVTX09VVC5GWTIwMTYuMzEvMTIvMjAyNQEAAAAdpQIAAgAAAAkzMy42NjE3NTIBCAAAAAUAAAABMQEAAAAKMTk0MzQyOTg3NwMAAAADMTYwAgAAAAQ0MDQyBAAAAAEwBwAAAAoxMi8zMS8yMDI1CAAAAAoxMi8zMS8yMDE2CQAAAAEwNGVFKwGx3gi5RbQ+AbHeCDZDSVEuTkFTREFRR1M6Q01DU0EuSVFfREFZU19TQUxFU19PVVQuRlkyMDE3LjMx</t>
  </si>
  <si>
    <t>LzEyLzIwMjUBAAAAHaUCAAIAAAAJMzYuMDM0NjI1AQgAAAAFAAAAATEBAAAACjIwMDM4Nzc4MDUDAAAAAzE2MAIAAAAENDA0MgQAAAABMAcAAAAKMTIvMzEvMjAyNQgAAAAKMTIvMzEvMjAxNwkAAAABMDRlRSsBsd4IuUW0PgGx3gg2Q0lRLk5BU0RBUUdTOkNNQ1NBLklRX0RBWVNfU0FMRVNfT1VULkZZMjAxOC4zMS8xMi8yMDI1AQAAAB2lAgACAAAACDM4LjUwMTY2AQgAAAAFAAAAATEBAAAACjIwNzg4MzAyNzMDAAAAAzE2MAIAAAAENDA0MgQAAAABMAcAAAAKMTIvMzEvMjAyNQgAAAAKMTIvMzEvMjAxOAkAAAABMDRlRSsBsd4IuUW0PgGx3gg2Q0lRLk5BU0RBUUdTOkNNQ1NBLklRX0RBWVNfU0FMRVNfT1VULkZZMjAxOS4zMS8xMi8yMDI1AQAAAB2lAgACAAAACDM3LjUxNzYyAQgAAAAFAAAAATEBAAAACy0yMTE0MDA4OTg4AwAAAAMxNjACAAAABDQwNDIEAAAAATAHAAAACjEyLzMxLzIwMjUIAAAACjEyLzMxLzIwMTkJAAAAATA0ZUUrAbHeCLlFtD4Bsd4INkNJUS5OQVNEQVFHUzpDTUNTQS5JUV9EQVlTX1NBTEVTX09VVC5GWTIwMjAuMzEvMTIvMjAyNQEAAAAdpQIAAgAAAAk0MC4yMTM4ODQBCAAAAAUAAAABMQEAAAALLTIwNjIzODI0OTMDAAAAAzE2MAIAAAAENDA0MgQAAAABMAcAAAAKMTIvMzEvMjAyNQgAAAAKMTIvMzEvMjAyMAkAAAABMDRlRSsBsd4IuUW0PgGx3gg2Q0lRLk5BU0RBUUdTOkNN</t>
  </si>
  <si>
    <t>Q1NBLklRX0RBWVNfU0FMRVNfT1VULkZZMjAyMS4zMS8xMi8yMDI1AQAAAB2lAgACAAAACDM2LjgwODc5AQgAAAAFAAAAATEBAAAACy0yMDEyMDI3MTM2AwAAAAMxNjACAAAABDQwNDIEAAAAATAHAAAACjEyLzMxLzIwMjUIAAAACjEyLzMxLzIwMjEJAAAAATA0ZUUrAbHeCLlFtD4Bsd4INkNJUS5OQVNEQVFHUzpDTUNTQS5JUV9EQVlTX1NBTEVTX09VVC5GWTIwMjIuMzEvMTIvMjAyNQEAAAAdpQIAAgAAAAgzNy4wOTI3NgEIAAAABQAAAAExAQAAAAstMTk2MTM1Njg5MQMAAAADMTYwAgAAAAQ0MDQyBAAAAAEwBwAAAAoxMi8zMS8yMDI1CAAAAAoxMi8zMS8yMDIyCQAAAAEwNGVFKwGx3gi5RbQ+AbHeCDZDSVEuTkFTREFRR1M6Q01DU0EuSVFfREFZU19TQUxFU19PVVQuRlkyMDIzLjMxLzEyLzIwMjUBAAAAHaUCAAIAAAAJMzkuNzU4MzU1AQgAAAAFAAAAATEBAAAACy0xOTYxMzU2ODkyAwAAAAMxNjACAAAABDQwNDIEAAAAATAHAAAACjEyLzMxLzIwMjUIAAAACjEyLzMxLzIwMjMJAAAAATA0ZUUrAbHeCLlFtD4Bsd4INkNJUS5OQVNEQVFHUzpDTUNTQS5JUV9EQVlTX1NBTEVTX09VVC5GWTIwMjQuMzEvMTIvMjAyNQEAAAAdpQIAAgAAAAk0MC42MzQ0MTgBCAAAAAUAAAABMQEAAAALLTE5NjEzNTY5MDkDAAAAAzE2MAIAAAAENDA0MgQAAAABMAcAAAAKMTIvMzEvMjAyNQgAAAAKMTIvMzEvMjAyNAkAAAAB</t>
  </si>
  <si>
    <t>MDRlRSsBsd4IuUW0PgGx3gg2Q0lRLk5BU0RBUUdTOkNNQ1NBLklRX0RBWVNfU0FMRVNfT1VULkZZMjAyNS4zMS8xMi8yMDI1AQAAAB2lAgADAAAAAAA0ZUUrAbHeCLlFtD4Bsd4IN0NJUS5OQVNEQVFHUzpORkxYLklRX0RBWVNfUEFZQUJMRV9PVVQuRlkyMDE1LjMxLzEyLzIwMjUBAAAADH0AAAIAAAAIMTguMDg3OTQBCAAAAAUAAAABMQEAAAAKMTg3MzA4NTg4NQMAAAADMTYwAgAAAAQ0MTgzBAAAAAEwBwAAAAoxMi8zMS8yMDI1CAAAAAoxMi8zMS8yMDE1CQAAAAEwNGVFKwGx3gi5RbQ+AbHeCDdDSVEuTkFTREFRR1M6TkZMWC5JUV9EQVlTX1BBWUFCTEVfT1VULkZZMjAxNi4zMS8xMi8yMDI1AQAAAAx9AAACAAAACTE2LjU2MjIzMgELAAAABQAAAAIxNgcAAAAFMzIwMTIBAAAACTcxNzAzMjU1OQIAAAAENDE4MwkAAAABMAoAAAABNAYAAAABMQQAAAABMAMAAAADMTYwCwAAAAoxMi8zMS8yMDI1CAAAAAEwNGVFKwGx3gi5RbQ+AbHeCDdDSVEuTkFTREFRR1M6TkZMWC5JUV9EQVlTX1BBWUFCTEVfT1VULkZZMjAxNy4zMS8xMi8yMDI1AQAAAAx9AAACAAAACDE1LjI3NTk4AQgAAAAFAAAAATEBAAAACjIwMDMxNTAwMDYDAAAAAzE2MAIAAAAENDE4MwQAAAABMAcAAAAKMTIvMzEvMjAyNQgAAAAKMTIvMzEvMjAxNwkAAAABMDRlRSsBsd4IuUW0PgGx3gg3Q0lRLk5BU0RBUUdTOk5GTFguSVFfREFZU19QQVlB</t>
  </si>
  <si>
    <t>QkxFX09VVC5GWTIwMTguMzEvMTIvMjAyNQEAAAAMfQAAAgAAAAkxNi44OTExMDUBCAAAAAUAAAABMQEAAAAKMjA3NzY5MDE2MAMAAAADMTYwAgAAAAQ0MTgzBAAAAAEwBwAAAAoxMi8zMS8yMDI1CAAAAAoxMi8zMS8yMDE4CQAAAAEwNGVFKwGx3gi5RbQ+AbHeCDdDSVEuTkFTREFRR1M6TkZMWC5JUV9EQVlTX1BBWUFCTEVfT1VULkZZMjAxOS4zMS8xMi8yMDI1AQAAAAx9AAACAAAACTE4LjE1MTgxNQEIAAAABQAAAAExAQAAAAstMjExNDUyNTA5OQMAAAADMTYwAgAAAAQ0MTgzBAAAAAEwBwAAAAoxMi8zMS8yMDI1CAAAAAoxMi8zMS8yMDE5CQAAAAEwNGVFKwGx3gi5RbQ+AbHeCDdDSVEuTkFTREFRR1M6TkZMWC5JUV9EQVlTX1BBWUFCTEVfT1VULkZZMjAyMC4zMS8xMi8yMDI1AQAAAAx9AAACAAAACTE1LjkzODU2OAEIAAAABQAAAAExAQAAAAstMjExNDUyNTA4NwMAAAADMTYwAgAAAAQ0MTgzBAAAAAEwBwAAAAoxMi8zMS8yMDI1CAAAAAoxMi8zMS8yMDIwCQAAAAEwNGVFKwGx3gi5RbQ+AbHeCDdDSVEuTkFTREFRR1M6TkZMWC5JUV9EQVlTX1BBWUFCTEVfT1VULkZZMjAyMS4zMS8xMi8yMDI1AQAAAAx9AAACAAAACDE1LjcyNzEyAQgAAAAFAAAAATEBAAAACy0yMDEyNDE1Nzc2AwAAAAMxNjACAAAABDQxODMEAAAAATAHAAAACjEyLzMxLzIwMjUIAAAACjEyLzMxLzIwMjEJAAAAATA0ZUUrAbHeCLlF</t>
  </si>
  <si>
    <t>tD4Bsd4IN0NJUS5OQVNEQVFHUzpORkxYLklRX0RBWVNfUEFZQUJMRV9PVVQuRlkyMDIyLjMxLzEyLzIwMjUBAAAADH0AAAIAAAAJMTQuMzY2NzY1AQgAAAAFAAAAATEBAAAACy0xOTYxODI0OTcwAwAAAAMxNjACAAAABDQxODMEAAAAATAHAAAACjEyLzMxLzIwMjUIAAAACjEyLzMxLzIwMjIJAAAAATA0ZUUrAbHeCLlFtD4Bsd4IN0NJUS5OQVNEQVFHUzpORkxYLklRX0RBWVNfUEFZQUJMRV9PVVQuRlkyMDIzLjMxLzEyLzIwMjUBAAAADH0AAAIAAAAJMTMuMTM0NTI1AQgAAAAFAAAAATEBAAAACy0xOTYxODI0OTY5AwAAAAMxNjACAAAABDQxODMEAAAAATAHAAAACjEyLzMxLzIwMjUIAAAACjEyLzMxLzIwMjMJAAAAATA0ZUUrAbHeCLlFtD4Bsd4IN0NJUS5OQVNEQVFHUzpORkxYLklRX0RBWVNfUEFZQUJMRV9PVVQuRlkyMDI0LjMxLzEyLzIwMjUBAAAADH0AAAIAAAAHMTQuMzI4OQEIAAAABQAAAAExAQAAAAstMTk2MTgyNDk2NwMAAAADMTYwAgAAAAQ0MTgzBAAAAAEwBwAAAAoxMi8zMS8yMDI1CAAAAAoxMi8zMS8yMDI0CQAAAAEwNGVFKwGx3gi5RbQ+AbHeCDdDSVEuTkFTREFRR1M6TkZMWC5JUV9EQVlTX1BBWUFCTEVfT1VULkZZMjAyNS4zMS8xMi8yMDI1AQAAAAx9AAADAAAAAAA0ZUUrAbHeCLlFtD4Bsd4IM0NJUS5OWVNFOlNQT1QuSVFfREFZU19QQVlBQkxFX09VVC5GWTIwMTUuMzEvMTIvMjAy</t>
  </si>
  <si>
    <t>NQEAAADFTnINAwAAAAAANGVFKwGx3gi5RbQ+AbHeCDNDSVEuTllTRTpTUE9ULklRX0RBWVNfUEFZQUJMRV9PVVQuRlkyMDE2LjMxLzEyLzIwMjUBAAAAxU5yDQIAAAAJMTguNTA3ODg4AQgAAAAFAAAAATEBAAAACjE5NDQ1Mzk3MzADAAAAAjUwAgAAAAQ0MTgzBAAAAAEwBwAAAAoxMi8zMS8yMDI1CAAAAAoxMi8zMS8yMDE2CQAAAAEwNGVFKwGx3gi5RbQ+AbHeCDNDSVEuTllTRTpTUE9ULklRX0RBWVNfUEFZQUJMRV9PVVQuRlkyMDE3LjMxLzEyLzIwMjUBAAAAxU5yDQIAAAAIMjEuNDUzOTcBCAAAAAUAAAABMQEAAAAKMjAxMzE4NTkwNgMAAAACNTACAAAABDQxODMEAAAAATAHAAAACjEyLzMxLzIwMjUIAAAACjEyLzMxLzIwMTcJAAAAATA0ZUUrAbHeCLlFtD4Bsd4IM0NJUS5OWVNFOlNQT1QuSVFfREFZU19QQVlBQkxFX09VVC5GWTIwMTguMzEvMTIvMjAyNQEAAADFTnINAgAAAAcyNS4wOTAxAQgAAAAFAAAAATEBAAAACjIwNzg5NTQzNDkDAAAAAjUwAgAAAAQ0MTgzBAAAAAEwBwAAAAoxMi8zMS8yMDI1CAAAAAoxMi8zMS8yMDE4CQAAAAEwNGVFKwGx3gi5RbQ+AbHeCDNDSVEuTllTRTpTUE9ULklRX0RBWVNfUEFZQUJMRV9PVVQuRlkyMDE5LjMxLzEyLzIwMjUBAAAAxU5yDQIAAAAHMjQuMzIzNgEIAAAABQAAAAExAQAAAAstMjExMzc3MDA1MgMAAAACNTACAAAABDQxODMEAAAAATAHAAAACjEyLzMx</t>
  </si>
  <si>
    <t>LzIwMjUIAAAACjEyLzMxLzIwMTkJAAAAATA0ZUUrAbHeCLlFtD4Bsd4IM0NJUS5OWVNFOlNQT1QuSVFfREFZU19QQVlBQkxFX09VVC5GWTIwMjAuMzEvMTIvMjAyNQEAAADFTnINAgAAAAkyNS4zMDQ1MDgBCAAAAAUAAAABMQEAAAALLTIwNjI0NDMzNzkDAAAAAjUwAgAAAAQ0MTgzBAAAAAEwBwAAAAoxMi8zMS8yMDI1CAAAAAoxMi8zMS8yMDIwCQAAAAEwNGVFKwGx3gi5RbQ+AbHeCDNDSVEuTllTRTpTUE9ULklRX0RBWVNfUEFZQUJMRV9PVVQuRlkyMDIxLjMxLzEyLzIwMjUBAAAAxU5yDQIAAAAIMjQuOTYyMzUBCAAAAAUAAAABMQEAAAALLTIwMTA5OTkzNDUDAAAAAjUwAgAAAAQ0MTgzBAAAAAEwBwAAAAoxMi8zMS8yMDI1CAAAAAoxMi8zMS8yMDIxCQAAAAEwNGVFKwGx3gi5RbQ+AbHeCDNDSVEuTllTRTpTUE9ULklRX0RBWVNfUEFZQUJMRV9PVVQuRlkyMDIyLjMxLzEyLzIwMjUBAAAAxU5yDQIAAAAIMjMuMjY1ODMBCAAAAAUAAAABMQEAAAALLTE5NjA5MDE5MTIDAAAAAjUwAgAAAAQ0MTgzBAAAAAEwBwAAAAoxMi8zMS8yMDI1CAAAAAoxMi8zMS8yMDIyCQAAAAEwNGVFKwGx3gi5RbQ+AbHeCDNDSVEuTllTRTpTUE9ULklRX0RBWVNfUEFZQUJMRV9PVVQuRlkyMDIzLjMxLzEyLzIwMjUBAAAAxU5yDQIAAAAIMjMuMjgwNDMBCAAAAAUAAAABMQEAAAALLTE5NjA5MDE4OTMDAAAAAjUwAgAAAAQ0MTgz</t>
  </si>
  <si>
    <t>BAAAAAEwBwAAAAoxMi8zMS8yMDI1CAAAAAoxMi8zMS8yMDIzCQAAAAEwNGVFKwGx3gi5RbQ+AbHeCDNDSVEuTllTRTpTUE9ULklRX0RBWVNfUEFZQUJMRV9PVVQuRlkyMDI0LjMxLzEyLzIwMjUBAAAAxU5yDQIAAAAHMjYuNjk5NwEIAAAABQAAAAExAQAAAAstMTk2MDkwMTkxNAMAAAACNTACAAAABDQxODMEAAAAATAHAAAACjEyLzMxLzIwMjUIAAAACjEyLzMxLzIwMjQJAAAAATA0ZUUrAbHeCLlFtD4Bsd4IM0NJUS5OWVNFOlNQT1QuSVFfREFZU19QQVlBQkxFX09VVC5GWTIwMjUuMzEvMTIvMjAyNQEAAADFTnINAwAAAAAANGVFKwGx3gi5RbQ+AbHeCDdDSVEuTkFTREFRR1M6Uk9LVS5JUV9EQVlTX1BBWUFCTEVfT1VULkZZMjAxNS4zMS8xMi8yMDI1AQAAAEmahAADAAAAAAA0ZUUrAbHeCLlFtD4Bsd4IN0NJUS5OQVNEQVFHUzpST0tVLklRX0RBWVNfUEFZQUJMRV9PVVQuRlkyMDE2LjMxLzEyLzIwMjUBAAAASZqEAAIAAAAJNDEuODM2NTU3AQgAAAAFAAAAATEBAAAACjE5NDgwNjQ5NjgDAAAAAzE2MAIAAAAENDE4MwQAAAABMAcAAAAKMTIvMzEvMjAyNQgAAAAKMTIvMzEvMjAxNgkAAAABMDRlRSsBsd4IuUW0PgGx3gg3Q0lRLk5BU0RBUUdTOlJPS1UuSVFfREFZU19QQVlBQkxFX09VVC5GWTIwMTcuMzEvMTIvMjAyNQEAAABJmoQAAgAAAAk1My4wNDU4MTUBCAAAAAUAAAABMQEAAAAKMjAxODg1MDM2</t>
  </si>
  <si>
    <t>MgMAAAADMTYwAgAAAAQ0MTgzBAAAAAEwBwAAAAoxMi8zMS8yMDI1CAAAAAoxMi8zMS8yMDE3CQAAAAEwNGVFKwGx3gi5RbQ+AbHeCDdDSVEuTkFTREFRR1M6Uk9LVS5JUV9EQVlTX1BBWUFCTEVfT1VULkZZMjAxOC4zMS8xMi8yMDI1AQAAAEmahAACAAAACTQ5LjkwMzg5NQEIAAAABQAAAAExAQAAAAoyMDgyMTAwNDg4AwAAAAMxNjACAAAABDQxODMEAAAAATAHAAAACjEyLzMxLzIwMjUIAAAACjEyLzMxLzIwMTgJAAAAATA0ZUUrAbHeCLlFtD4Bsd4IN0NJUS5OQVNEQVFHUzpST0tVLklRX0RBWVNfUEFZQUJMRV9PVVQuRlkyMDE5LjMxLzEyLzIwMjUBAAAASZqEAAIAAAAJNDguMzk4NjM1AQgAAAAFAAAAATEBAAAACy0yMTExNjI5OTk2AwAAAAMxNjACAAAABDQxODMEAAAAATAHAAAACjEyLzMxLzIwMjUIAAAACjEyLzMxLzIwMTkJAAAAATA0ZUUrAbHeCLlFtD4Bsd4IN0NJUS5OQVNEQVFHUzpST0tVLklRX0RBWVNfUEFZQUJMRV9PVVQuRlkyMDIwLjMxLzEyLzIwMjUBAAAASZqEAAIAAAAINDIuNzM1OTkBCAAAAAUAAAABMQEAAAALLTIwNjA2MzM3NjgDAAAAAzE2MAIAAAAENDE4MwQAAAABMAcAAAAKMTIvMzEvMjAyNQgAAAAKMTIvMzEvMjAyMAkAAAABMDRlRSsBsd4IuUW0PgGx3gg3Q0lRLk5BU0RBUUdTOlJPS1UuSVFfREFZU19QQVlBQkxFX09VVC5GWTIwMjEuMzEvMTIvMjAyNQEAAABJmoQAAgAA</t>
  </si>
  <si>
    <t>AAkzMi4wMTQ1MTUBCAAAAAUAAAABMQEAAAALLTIwMDk5Mjc5NDQDAAAAAzE2MAIAAAAENDE4MwQAAAABMAcAAAAKMTIvMzEvMjAyNQgAAAAKMTIvMzEvMjAyMQkAAAABMDRlRSsBsd4IuUW0PgGx3gg3Q0lRLk5BU0RBUUdTOlJPS1UuSVFfREFZU19QQVlBQkxFX09VVC5GWTIwMjIuMzEvMTIvMjAyNQEAAABJmoQAAgAAAAkzMC4zNTQ0OTUBCAAAAAUAAAABMQEAAAALLTE5NTk0ODYxOTMDAAAAAzE2MAIAAAAENDE4MwQAAAABMAcAAAAKMTIvMzEvMjAyNQgAAAAKMTIvMzEvMjAyMgkAAAABMDRlRSsBsd4IuUW0PgGx3gg3Q0lRLk5BU0RBUUdTOlJPS1UuSVFfREFZU19QQVlBQkxFX09VVC5GWTIwMjMuMzEvMTIvMjAyNQEAAABJmoQAAgAAAAg1My40ODc4MwEIAAAABQAAAAExAQAAAAstMTk1OTQ4NjE5NgMAAAADMTYwAgAAAAQ0MTgzBAAAAAEwBwAAAAoxMi8zMS8yMDI1CAAAAAoxMi8zMS8yMDIzCQAAAAEwNGVFKwGx3gi5RbQ+AbHeCDdDSVEuTkFTREFRR1M6Uk9LVS5JUV9EQVlTX1BBWUFCTEVfT1VULkZZMjAyNC4zMS8xMi8yMDI1AQAAAEmahAACAAAACTUwLjgzNjMwMgEIAAAABQAAAAExAQAAAAstMTk1OTQ4NjE5MAMAAAADMTYwAgAAAAQ0MTgzBAAAAAEwBwAAAAoxMi8zMS8yMDI1CAAAAAoxMi8zMS8yMDI0CQAAAAEwNGVFKwGx3gi5RbQ+AbHeCDdDSVEuTkFTREFRR1M6Uk9LVS5JUV9EQVlTX1BB</t>
  </si>
  <si>
    <t>WUFCTEVfT1VULkZZMjAyNS4zMS8xMi8yMDI1AQAAAEmahAADAAAAAAA0ZUUrAbHeCLlFtD4Bsd4INUNJUS5OQVNEQVFHUzpJUS5JUV9EQVlTX1BBWUFCTEVfT1VULkZZMjAxNS4zMS8xMi8yMDI1AQAAAMIo5QUDAAAAAAA0ZUUrAbHeCLlFtD4Bsd4INUNJUS5OQVNEQVFHUzpJUS5JUV9EQVlTX1BBWUFCTEVfT1VULkZZMjAxNi4zMS8xMi8yMDI1AQAAAMIo5QUCAAAACjEwOC42MTM3OTQBCAAAAAUAAAABMQEAAAAKMTk0OTgxNzMxMwMAAAACMzICAAAABDQxODMEAAAAATAHAAAACjEyLzMxLzIwMjUIAAAACjEyLzMxLzIwMTYJAAAAATA0ZUUrAbHeCLlFtD4Bsd4INUNJUS5OQVNEQVFHUzpJUS5JUV9EQVlTX1BBWUFCTEVfT1VULkZZMjAxNy4zMS8xMi8yMDI1AQAAAMIo5QUCAAAACjEyMC41Mzg2OTUBCAAAAAUAAAABMQEAAAAKMjAyMTU4MTQ2MwMAAAACMzICAAAABDQxODMEAAAAATAHAAAACjEyLzMxLzIwMjUIAAAACjEyLzMxLzIwMTcJAAAAATA0ZUUrAbHeCLlFtD4Bsd4INUNJUS5OQVNEQVFHUzpJUS5JUV9EQVlTX1BBWUFCTEVfT1VULkZZMjAxOC4zMS8xMi8yMDI1AQAAAMIo5QUCAAAACjExNS43MTQ4NTUBCAAAAAUAAAABMQEAAAAKMjA4MzY4MTEzNAMAAAACMzICAAAABDQxODMEAAAAATAHAAAACjEyLzMxLzIwMjUIAAAACjEyLzMxLzIwMTgJAAAAATA0ZUUrAbHeCLlFtD4Bsd4INUNJUS5OQVNE</t>
  </si>
  <si>
    <t>QVFHUzpJUS5JUV9EQVlTX1BBWUFCTEVfT1VULkZZMjAxOS4zMS8xMi8yMDI1AQAAAMIo5QUCAAAACjExMC44NTg4OTUBCAAAAAUAAAABMQEAAAALLTIxMDY2MDQwOTkDAAAAAjMyAgAAAAQ0MTgzBAAAAAEwBwAAAAoxMi8zMS8yMDI1CAAAAAoxMi8zMS8yMDE5CQAAAAEwNGVFKwGx3gi5RbQ+AbHeCDVDSVEuTkFTREFRR1M6SVEuSVFfREFZU19QQVlBQkxFX09VVC5GWTIwMjAuMzEvMTIvMjAyNQEAAADCKOUFAgAAAAoxMDYuNjYxMTg0AQgAAAAFAAAAATEBAAAACy0yMDU2MDkwMzM0AwAAAAIzMgIAAAAENDE4MwQAAAABMAcAAAAKMTIvMzEvMjAyNQgAAAAKMTIvMzEvMjAyMAkAAAABMDRlRSsBsd4IuUW0PgGx3gg1Q0lRLk5BU0RBUUdTOklRLklRX0RBWVNfUEFZQUJMRV9PVVQuRlkyMDIxLjMxLzEyLzIwMjUBAAAAwijlBQIAAAAJMTA5LjkxMzE4AQgAAAAFAAAAATEBAAAACy0yMDA2MTA5MTM2AwAAAAIzMgIAAAAENDE4MwQAAAABMAcAAAAKMTIvMzEvMjAyNQgAAAAKMTIvMzEvMjAyMQkAAAABMDRlRSsBsd4IuUW0PgGx3gg1Q0lRLk5BU0RBUUdTOklRLklRX0RBWVNfUEFZQUJMRV9PVVQuRlkyMDIyLjMxLzEyLzIwMjUBAAAAwijlBQIAAAAJMTIyLjEyMDI0AQgAAAAFAAAAATEBAAAACy0xOTU0MDgxMTY0AwAAAAIzMgIAAAAENDE4MwQAAAABMAcAAAAKMTIvMzEvMjAyNQgAAAAKMTIvMzEvMjAyMgkA</t>
  </si>
  <si>
    <t>AAABMDRlRSsBsd4IuUW0PgGx3gg1Q0lRLk5BU0RBUUdTOklRLklRX0RBWVNfUEFZQUJMRV9PVVQuRlkyMDIzLjMxLzEyLzIwMjUBAAAAwijlBQIAAAAJOTMuMTY1MTU1AQgAAAAFAAAAATEBAAAACy0xOTU0MDgxMTYzAwAAAAIzMgIAAAAENDE4MwQAAAABMAcAAAAKMTIvMzEvMjAyNQgAAAAKMTIvMzEvMjAyMwkAAAABMDRlRSsBsd4IuUW0PgGx3gg1Q0lRLk5BU0RBUUdTOklRLklRX0RBWVNfUEFZQUJMRV9PVVQuRlkyMDI0LjMxLzEyLzIwMjUBAAAAwijlBQIAAAAKMTAxLjc0ODM2NgEIAAAABQAAAAExAQAAAAstMTk1NDA4MTE2MQMAAAACMzICAAAABDQxODMEAAAAATAHAAAACjEyLzMxLzIwMjUIAAAACjEyLzMxLzIwMjQJAAAAATA0ZUUrAbHeCLlFtD4Bsd4INUNJUS5OQVNEQVFHUzpJUS5JUV9EQVlTX1BBWUFCTEVfT1VULkZZMjAyNS4zMS8xMi8yMDI1AQAAAMIo5QUDAAAAAAA0ZUUrAbHeCLlFtD4Bsd4IN0NJUS5OQVNEQVFHUzpCSUxJLklRX0RBWVNfUEFZQUJMRV9PVVQuRlkyMDE1LjMxLzEyLzIwMjUBAAAAIlxlEQMAAAAAADRlRSsBsd4IuUW0PgGx3gg3Q0lRLk5BU0RBUUdTOkJJTEkuSVFfREFZU19QQVlBQkxFX09VVC5GWTIwMTYuMzEvMTIvMjAyNQEAAAAiXGURAgAAAAoxMDMuMzU2MjA0AQgAAAAFAAAAATEBAAAACjE5NTE3MjE4MDMDAAAAAjMyAgAAAAQ0MTgzBAAAAAEwBwAAAAoxMi8z</t>
  </si>
  <si>
    <t>MS8yMDI1CAAAAAoxMi8zMS8yMDE2CQAAAAEwNGVFKwGx3gi5RbQ+AbHeCDdDSVEuTkFTREFRR1M6QklMSS5JUV9EQVlTX1BBWUFCTEVfT1VULkZZMjAxNy4zMS8xMi8yMDI1AQAAACJcZRECAAAACTg3LjI0NjMxNQEIAAAABQAAAAExAQAAAAoyMDI0MzA0MjczAwAAAAIzMgIAAAAENDE4MwQAAAABMAcAAAAKMTIvMzEvMjAyNQgAAAAKMTIvMzEvMjAxNwkAAAABMDRlRSsBsd4IuUW0PgGx3gg3Q0lRLk5BU0RBUUdTOkJJTEkuSVFfREFZU19QQVlBQkxFX09VVC5GWTIwMTguMzEvMTIvMjAyNQEAAAAiXGURAgAAAAkxMDcuMzc5MzUBCAAAAAUAAAABMQEAAAAKMjA4MzI5OTcwMgMAAAACMzICAAAABDQxODMEAAAAATAHAAAACjEyLzMxLzIwMjUIAAAACjEyLzMxLzIwMTgJAAAAATA0ZUUrAbHeCLlFtD4Bsd4IN0NJUS5OQVNEQVFHUzpCSUxJLklRX0RBWVNfUEFZQUJMRV9PVVQuRlkyMDE5LjMxLzEyLzIwMjUBAAAAIlxlEQIAAAAJMTA2LjMyOTYxAQgAAAAFAAAAATEBAAAACy0yMTAxNTAyNDUxAwAAAAIzMgIAAAAENDE4MwQAAAABMAcAAAAKMTIvMzEvMjAyNQgAAAAKMTIvMzEvMjAxOQkAAAABMDRlRSsBsd4IuUW0PgGx3gg3Q0lRLk5BU0RBUUdTOkJJTEkuSVFfREFZU19QQVlBQkxFX09VVC5GWTIwMjAuMzEvMTIvMjAyNQEAAAAiXGURAgAAAAk5OC4zODU5MjQBCAAAAAUAAAABMQEAAAALLTIwNDkwMzE2</t>
  </si>
  <si>
    <t>MzMDAAAAAjMyAgAAAAQ0MTgzBAAAAAEwBwAAAAoxMi8zMS8yMDI1CAAAAAoxMi8zMS8yMDIwCQAAAAEwNGVFKwGx3gi5RbQ+AbHeCDdDSVEuTkFTREFRR1M6QklMSS5JUV9EQVlTX1BBWUFCTEVfT1VULkZZMjAyMS4zMS8xMi8yMDI1AQAAACJcZRECAAAACTg2LjM2NzM5NQEIAAAABQAAAAExAQAAAAstMjAwMjM5ODU1NQMAAAACMzICAAAABDQxODMEAAAAATAHAAAACjEyLzMxLzIwMjUIAAAACjEyLzMxLzIwMjEJAAAAATA0ZUUrAbHeCLlFtD4Bsd4IN0NJUS5OQVNEQVFHUzpCSUxJLklRX0RBWVNfUEFZQUJMRV9PVVQuRlkyMDIyLjMxLzEyLzIwMjUBAAAAIlxlEQIAAAAIODcuNjYyMDUBCAAAAAUAAAABMQEAAAALLTE5NTQ0ODQ0NDEDAAAAAjMyAgAAAAQ0MTgzBAAAAAEwBwAAAAoxMi8zMS8yMDI1CAAAAAoxMi8zMS8yMDIyCQAAAAEwNGVFKwGx3gi5RbQ+AbHeCDdDSVEuTkFTREFRR1M6QklMSS5JUV9EQVlTX1BBWUFCTEVfT1VULkZZMjAyMy4zMS8xMi8yMDI1AQAAACJcZRECAAAACDkzLjYyNTQyAQgAAAAFAAAAATEBAAAACy0xOTU0NDg0NDQ4AwAAAAIzMgIAAAAENDE4MwQAAAABMAcAAAAKMTIvMzEvMjAyNQgAAAAKMTIvMzEvMjAyMwkAAAABMDRlRSsBsd4IuUW0PgGx3gg3Q0lRLk5BU0RBUUdTOkJJTEkuSVFfREFZU19QQVlBQkxFX09VVC5GWTIwMjQuMzEvMTIvMjAyNQEAAAAiXGURAgAAAAk5</t>
  </si>
  <si>
    <t>Mi4zNDg3NTQBCAAAAAUAAAABMQEAAAALLTE5NTQ0ODQ0NTIDAAAAAjMyAgAAAAQ0MTgzBAAAAAEwBwAAAAoxMi8zMS8yMDI1CAAAAAoxMi8zMS8yMDI0CQAAAAEwNGVFKwGx3gi5RbQ+AbHeCDdDSVEuTkFTREFRR1M6QklMSS5JUV9EQVlTX1BBWUFCTEVfT1VULkZZMjAyNS4zMS8xMi8yMDI1AQAAACJcZREDAAAAAAA0ZUUrAbHeCLlFtD4Bsd4IMkNJUS5OWVNFOkRJUy5JUV9EQVlTX1BBWUFCTEVfT1VULkZZMjAxNS4zMS8xMi8yMDI1AQAAAEzsAgACAAAACDcwLjg1NzI5AQgAAAAFAAAAATEBAAAACjE4NjcyOTgwMTgDAAAAAzE2MAIAAAAENDE4MwQAAAABMAcAAAAKMTIvMzEvMjAyNQgAAAAJMTAvMy8yMDE1CQAAAAEwNGVFKwGx3gi5RbQ+AbHeCDJDSVEuTllTRTpESVMuSVFfREFZU19QQVlBQkxFX09VVC5GWTIwMTYuMzEvMTIvMjAyNQEAAABM7AIAAgAAAAk3NS43MTIzNjQBCAAAAAUAAAABMQEAAAAKMTkyNTI5NTQyOQMAAAADMTYwAgAAAAQ0MTgzBAAAAAEwBwAAAAoxMi8zMS8yMDI1CAAAAAkxMC8xLzIwMTYJAAAAATA0ZUUrAbHeCLlFtD4Bsd4IMkNJUS5OWVNFOkRJUy5JUV9EQVlTX1BBWUFCTEVfT1VULkZZMjAxNy4zMS8xMi8yMDI1AQAAAEzsAgACAAAACTc4LjkyMzIwOAEIAAAABQAAAAExAQAAAAoxOTkzODU5NDEzAwAAAAMxNjACAAAABDQxODMEAAAAATAHAAAACjEyLzMxLzIwMjUIAAAA</t>
  </si>
  <si>
    <t>CTkvMzAvMjAxNwkAAAABMDRlRSsBsd4IXuCxPgGx3ggyQ0lRLk5ZU0U6RElTLklRX0RBWVNfUEFZQUJMRV9PVVQuRlkyMDE4LjMxLzEyLzIwMjUBAAAATOwCAAIAAAAJNzEuMTA5OTQ4AQgAAAAFAAAAATEBAAAACjIwNzI5MTE1MjkDAAAAAzE2MAIAAAAENDE4MwQAAAABMAcAAAAKMTIvMzEvMjAyNQgAAAAJOS8yOS8yMDE4CQAAAAEwNGVFKwGx3ghe4LE+AbHeCDJDSVEuTllTRTpESVMuSVFfREFZU19QQVlBQkxFX09VVC5GWTIwMTkuMzEvMTIvMjAyNQEAAABM7AIAAgAAAAk4MC45NDQxMzYBCAAAAAUAAAABMQEAAAALLTIxMTkyOTI5NTADAAAAAzE2MAIAAAAENDE4MwQAAAABMAcAAAAKMTIvMzEvMjAyNQgAAAAJOS8yOC8yMDE5CQAAAAEwNGVFKwGx3ghe4LE+AbHeCDJDSVEuTllTRTpESVMuSVFfREFZU19QQVlBQkxFX09VVC5GWTIwMjAuMzEvMTIvMjAyNQEAAABM7AIAAgAAAAoxMTcuMzI0NjY5AQgAAAAFAAAAATEBAAAACy0yMDY2NzkyODYzAwAAAAMxNjACAAAABDQxODMEAAAAATAHAAAACjEyLzMxLzIwMjUIAAAACTEwLzMvMjAyMAkAAAABMDRlRSsBsd4IXuCxPgGx3ggyQ0lRLk5ZU0U6RElTLklRX0RBWVNfUEFZQUJMRV9PVVQuRlkyMDIxLjMxLzEyLzIwMjUBAAAATOwCAAIAAAAJMTEzLjgzNTU0AQgAAAAFAAAAATEBAAAACy0yMDE3NTA4MjU4AwAAAAMxNjACAAAABDQxODMEAAAAATAHAAAA</t>
  </si>
  <si>
    <t>CjEyLzMxLzIwMjUIAAAACTEwLzIvMjAyMQkAAAABMDRlRSsBsd4IXuCxPgGx3ggyQ0lRLk5ZU0U6RElTLklRX0RBWVNfUEFZQUJMRV9PVVQuRlkyMDIyLjMxLzEyLzIwMjUBAAAATOwCAAIAAAAKMTA0LjA1MDg1NgEIAAAABQAAAAExAQAAAAstMTk2OTAwNjM4NQMAAAADMTYwAgAAAAQ0MTgzBAAAAAEwBwAAAAoxMi8zMS8yMDI1CAAAAAkxMC8xLzIwMjIJAAAAATA0ZUUrAbHeCF7gsT4Bsd4IMkNJUS5OWVNFOkRJUy5JUV9EQVlTX1BBWUFCTEVfT1VULkZZMjAyMy4zMS8xMi8yMDI1AQAAAEzsAgACAAAACTg5LjcwOTk4NAEIAAAABQAAAAExAQAAAAstMTkxNzAxNjExNgMAAAADMTYwAgAAAAQ0MTgzBAAAAAEwBwAAAAoxMi8zMS8yMDI1CAAAAAk5LzMwLzIwMjMJAAAAATA0ZUUrAbHeCF7gsT4Bsd4IMkNJUS5OWVNFOkRJUy5JUV9EQVlTX1BBWUFCTEVfT1VULkZZMjAyNC4zMS8xMi8yMDI1AQAAAEzsAgACAAAACTg5LjI1MDYxNgEIAAAABQAAAAExAQAAAAstMTkxNzAxNjEyOAMAAAADMTYwAgAAAAQ0MTgzBAAAAAEwBwAAAAoxMi8zMS8yMDI1CAAAAAk5LzI4LzIwMjQJAAAAATA0ZUUrAbHeCF7gsT4Bsd4IMkNJUS5OWVNFOkRJUy5JUV9EQVlTX1BBWUFCTEVfT1VULkZZMjAyNS4zMS8xMi8yMDI1AQAAAEzsAgACAAAACTg4LjI0NDE1NgEIAAAABQAAAAExAQAAAAstMTkxNzAxNjE1MQMAAAADMTYwAgAA</t>
  </si>
  <si>
    <t>AAQ0MTgzBAAAAAEwBwAAAAoxMi8zMS8yMDI1CAAAAAk5LzI3LzIwMjUJAAAAATA0ZUUrAbHeCF7gsT4Bsd4INkNJUS5OQVNEQVFHUzpXQkQuSVFfREFZU19QQVlBQkxFX09VVC5GWTIwMTUuMzEvMTIvMjAyNQEAAABt21kBAgAAAAg0MC41Mjg4NwEIAAAABQAAAAExAQAAAAoxODc3MjM2NzI5AwAAAAMxNjACAAAABDQxODMEAAAAATAHAAAACjEyLzMxLzIwMjUIAAAACjEyLzMxLzIwMTUJAAAAATA0ZUUrAbHeCLlFtD4Bsd4INkNJUS5OQVNEQVFHUzpXQkQuSVFfREFZU19QQVlBQkxFX09VVC5GWTIwMTYuMzEvMTIvMjAyNQEAAABt21kBAgAAAAk0MC40MzQ1ODIBCAAAAAUAAAABMQEAAAAKMTk0ODA5ODkxNAMAAAADMTYwAgAAAAQ0MTgzBAAAAAEwBwAAAAoxMi8zMS8yMDI1CAAAAAoxMi8zMS8yMDE2CQAAAAEwNGVFKwGx3gi5RbQ+AbHeCDZDSVEuTkFTREFRR1M6V0JELklRX0RBWVNfUEFZQUJMRV9PVVQuRlkyMDE3LjMxLzEyLzIwMjUBAAAAbdtZAQIAAAAIMzYuMDI2OTYBCAAAAAUAAAABMQEAAAAKMjAxODEwNDYwMQMAAAADMTYwAgAAAAQ0MTgzBAAAAAEwBwAAAAoxMi8zMS8yMDI1CAAAAAoxMi8zMS8yMDE3CQAAAAEwNGVFKwGx3gi5RbQ+AbHeCDZDSVEuTkFTREFRR1M6V0JELklRX0RBWVNfUEFZQUJMRV9PVVQuRlkyMDE4LjMxLzEyLzIwMjUBAAAAbdtZAQIAAAAIMjguMDk4NDMBCAAAAAUAAAAB</t>
  </si>
  <si>
    <t>MQEAAAAKMjA4MTMwMjM2MwMAAAADMTYwAgAAAAQ0MTgzBAAAAAEwBwAAAAoxMi8zMS8yMDI1CAAAAAoxMi8zMS8yMDE4CQAAAAEwNGVFKwGx3gi5RbQ+AbHeCDZDSVEuTkFTREFRR1M6V0JELklRX0RBWVNfUEFZQUJMRV9PVVQuRlkyMDE5LjMxLzEyLzIwMjUBAAAAbdtZAQIAAAAIMzguMzI4NjUBCAAAAAUAAAABMQEAAAALLTIxMTA2Nzc4NjADAAAAAzE2MAIAAAAENDE4MwQAAAABMAcAAAAKMTIvMzEvMjAyNQgAAAAKMTIvMzEvMjAxOQkAAAABMDRlRSsBsd4IuUW0PgGx3gg2Q0lRLk5BU0RBUUdTOldCRC5JUV9EQVlTX1BBWUFCTEVfT1VULkZZMjAyMC4zMS8xMi8yMDI1AQAAAG3bWQECAAAACTQxLjI4NTE2NgEIAAAABQAAAAExAQAAAAstMjA1OTY0OTg4NgMAAAADMTYwAgAAAAQ0MTgzBAAAAAEwBwAAAAoxMi8zMS8yMDI1CAAAAAoxMi8zMS8yMDIwCQAAAAEwNGVFKwGx3gi5RbQ+AbHeCDZDSVEuTkFTREFRR1M6V0JELklRX0RBWVNfUEFZQUJMRV9PVVQuRlkyMDIxLjMxLzEyLzIwMjUBAAAAbdtZAQIAAAAIMzEuOTkxNTIBCAAAAAUAAAABMQEAAAALLTIwMDg4Njc3OTQDAAAAAzE2MAIAAAAENDE4MwQAAAABMAcAAAAKMTIvMzEvMjAyNQgAAAAKMTIvMzEvMjAyMQkAAAABMDRlRSsBsd4IuUW0PgGx3gg2Q0lRLk5BU0RBUUdTOldCRC5JUV9EQVlTX1BBWUFCTEVfT1VULkZZMjAyMi4zMS8xMi8yMDI1</t>
  </si>
  <si>
    <t>AQAAAG3bWQECAAAACTE2LjcwMDU3NQEIAAAABQAAAAExAQAAAAstMTk1NzQ2MTkxMQMAAAADMTYwAgAAAAQ0MTgzBAAAAAEwBwAAAAoxMi8zMS8yMDI1CAAAAAoxMi8zMS8yMDIyCQAAAAEwNGVFKwGx3gi5RbQ+AbHeCDZDSVEuTkFTREFRR1M6V0JELklRX0RBWVNfUEFZQUJMRV9PVVQuRlkyMDIzLjMxLzEyLzIwMjUBAAAAbdtZAQIAAAAJMjAuMzcwMjg1AQgAAAAFAAAAATEBAAAACy0xOTU3NDYxOTU2AwAAAAMxNjACAAAABDQxODMEAAAAATAHAAAACjEyLzMxLzIwMjUIAAAACjEyLzMxLzIwMjMJAAAAATA0ZUUrAbHeCLlFtD4Bsd4INkNJUS5OQVNEQVFHUzpXQkQuSVFfREFZU19QQVlBQkxFX09VVC5GWTIwMjQuMzEvMTIvMjAyNQEAAABt21kBAgAAAAkxOC43NjQwODgBCAAAAAUAAAABMQEAAAALLTE5NTc0NjE5NTMDAAAAAzE2MAIAAAAENDE4MwQAAAABMAcAAAAKMTIvMzEvMjAyNQgAAAAKMTIvMzEvMjAyNAkAAAABMDRlRSsBsd4IXuCxPgGx3gg2Q0lRLk5BU0RBUUdTOldCRC5JUV9EQVlTX1BBWUFCTEVfT1VULkZZMjAyNS4zMS8xMi8yMDI1AQAAAG3bWQEDAAAAAAA0ZUUrAbHeCLlFtD4Bsd4IN0NJUS5OQVNEQVFHUzpQU0tZLklRX0RBWVNfUEFZQUJMRV9PVVQuRlkyMDE1LjMxLzEyLzIwMjUBAAAAH6KnAQIAAAAIMTAuMTg2NDIBCAAAAAUAAAABMQEAAAAKMTg3NTE5NjI2OAMAAAADMTYwAgAA</t>
  </si>
  <si>
    <t>AAQ0MTgzBAAAAAEwBwAAAAoxMi8zMS8yMDI1CAAAAAoxMi8zMS8yMDE1CQAAAAEwNGVFKwGx3gi5RbQ+AbHeCDdDSVEuTkFTREFRR1M6UFNLWS5JUV9EQVlTX1BBWUFCTEVfT1VULkZZMjAxNi4zMS8xMi8yMDI1AQAAAB+ipwECAAAABzYuOTI0NzIBCAAAAAUAAAABMQEAAAAKMTk0NTI3Njg0OQMAAAADMTYwAgAAAAQ0MTgzBAAAAAEwBwAAAAoxMi8zMS8yMDI1CAAAAAoxMi8zMS8yMDE2CQAAAAEwNGVFKwGx3gi5RbQ+AbHeCDdDSVEuTkFTREFRR1M6UFNLWS5JUV9EQVlTX1BBWUFCTEVfT1VULkZZMjAxNy4zMS8xMi8yMDI1AQAAAB+ipwECAAAABzQuMzU0NDUBCAAAAAUAAAABMQEAAAAKMjAxNjIzMTc1MgMAAAADMTYwAgAAAAQ0MTgzBAAAAAEwBwAAAAoxMi8zMS8yMDI1CAAAAAoxMi8zMS8yMDE3CQAAAAEwNGVFKwGx3gi5RbQ+AbHeCDdDSVEuTkFTREFRR1M6UFNLWS5JUV9EQVlTX1BBWUFCTEVfT1VULkZZMjAxOC4zMS8xMi8yMDI1AQAAAB+ipwECAAAACDguMTc4NTU1AQgAAAAFAAAAATEBAAAACjIwODE1ODQ5MzcDAAAAAzE2MAIAAAAENDE4MwQAAAABMAcAAAAKMTIvMzEvMjAyNQgAAAAKMTIvMzEvMjAxOAkAAAABMDRlRSsBsd4IuUW0PgGx3gg3Q0lRLk5BU0RBUUdTOlBTS1kuSVFfREFZU19QQVlBQkxFX09VVC5GWTIwMTkuMzEvMTIvMjAyNQEAAAAfoqcBAgAAAAgxMi44MTI5NgEIAAAABQAA</t>
  </si>
  <si>
    <t>AAExAQAAAAstMjExMjE4NjQxNAMAAAADMTYwAgAAAAQ0MTgzBAAAAAEwBwAAAAoxMi8zMS8yMDI1CAAAAAoxMi8zMS8yMDE5CQAAAAEwNGVFKwGx3gi5RbQ+AbHeCDdDSVEuTkFTREFRR1M6UFNLWS5JUV9EQVlTX1BBWUFCTEVfT1VULkZZMjAyMC4zMS8xMi8yMDI1AQAAAB+ipwECAAAACTE1Ljk3OTE5NAEIAAAABQAAAAExAQAAAAstMjA2MDcxNTg5OQMAAAADMTYwAgAAAAQ0MTgzBAAAAAEwBwAAAAoxMi8zMS8yMDI1CAAAAAoxMi8zMS8yMDIwCQAAAAEwNGVFKwGx3gi5RbQ+AbHeCDdDSVEuTkFTREFRR1M6UFNLWS5JUV9EQVlTX1BBWUFCTEVfT1VULkZZMjAyMS4zMS8xMi8yMDI1AQAAAB+ipwECAAAACTE0LjMwNDcxNQEIAAAABQAAAAExAQAAAAstMjAwODE5MDY2NwMAAAADMTYwAgAAAAQ0MTgzBAAAAAEwBwAAAAoxMi8zMS8yMDI1CAAAAAoxMi8zMS8yMDIxCQAAAAEwNGVFKwGx3gi5RbQ+AbHeCDdDSVEuTkFTREFRR1M6UFNLWS5JUV9EQVlTX1BBWUFCTEVfT1VULkZZMjAyMi4zMS8xMi8yMDI1AQAAAB+ipwECAAAACTIwLjQyNTc2NQEIAAAABQAAAAExAQAAAAstMTk1ODE2ODc4MAMAAAADMTYwAgAAAAQ0MTgzBAAAAAEwBwAAAAoxMi8zMS8yMDI1CAAAAAoxMi8zMS8yMDIyCQAAAAEwNGVFKwGx3gi5RbQ+AbHeCDdDSVEuTkFTREFRR1M6UFNLWS5JUV9EQVlTX1BBWUFCTEVfT1VULkZZMjAyMy4z</t>
  </si>
  <si>
    <t>MS8xMi8yMDI1AQAAAB+ipwECAAAACTIyLjczODQwNQEIAAAABQAAAAExAQAAAAstMTk1ODE2ODc3OQMAAAADMTYwAgAAAAQ0MTgzBAAAAAEwBwAAAAoxMi8zMS8yMDI1CAAAAAoxMi8zMS8yMDIzCQAAAAEwNGVFKwGx3gi5RbQ+AbHeCDdDSVEuTkFTREFRR1M6UFNLWS5JUV9EQVlTX1BBWUFCTEVfT1VULkZZMjAyNC4zMS8xMi8yMDI1AQAAAB+ipwECAAAACDE5LjMxMzgyAQgAAAAFAAAAATEBAAAACy0xOTU4MTY4Nzc4AwAAAAMxNjACAAAABDQxODMEAAAAATAHAAAACjEyLzMxLzIwMjUIAAAACjEyLzMxLzIwMjQJAAAAATA0ZUUrAbHeCLlFtD4Bsd4IN0NJUS5OQVNEQVFHUzpQU0tZLklRX0RBWVNfUEFZQUJMRV9PVVQuRlkyMDI1LjMxLzEyLzIwMjUBAAAAH6KnAQMAAAAAADRlRSsBsd4IuUW0PgGx3gg4Q0lRLk5BU0RBUUdTOkNNQ1NBLklRX0RBWVNfUEFZQUJMRV9PVVQuRlkyMDE1LjMxLzEyLzIwMjUBAAAAHaUCAAIAAAAJOTUuOTI3NDc1AQgAAAAFAAAAATEBAAAACjE4NzI3OTI0MTIDAAAAAzE2MAIAAAAENDE4MwQAAAABMAcAAAAKMTIvMzEvMjAyNQgAAAAKMTIvMzEvMjAxNQkAAAABMDRlRSsBsd4IuUW0PgGx3gg4Q0lRLk5BU0RBUUdTOkNNQ1NBLklRX0RBWVNfUEFZQUJMRV9PVVQuRlkyMDE2LjMxLzEyLzIwMjUBAAAAHaUCAAIAAAAJOTguNjg1MzEyAQgAAAAFAAAAATEBAAAACjE5NDM0Mjk4</t>
  </si>
  <si>
    <t>NzcDAAAAAzE2MAIAAAAENDE4MwQAAAABMAcAAAAKMTIvMzEvMjAyNQgAAAAKMTIvMzEvMjAxNgkAAAABMDRlRSsBsd4IuUW0PgGx3gg4Q0lRLk5BU0RBUUdTOkNNQ1NBLklRX0RBWVNfUEFZQUJMRV9PVVQuRlkyMDE3LjMxLzEyLzIwMjUBAAAAHaUCAAIAAAAJOTkuNDk0OTg1AQgAAAAFAAAAATEBAAAACjIwMDM4Nzc4MDUDAAAAAzE2MAIAAAAENDE4MwQAAAABMAcAAAAKMTIvMzEvMjAyNQgAAAAKMTIvMzEvMjAxNwkAAAABMDRlRSsBsd4IuUW0PgGx3gg4Q0lRLk5BU0RBUUdTOkNNQ1NBLklRX0RBWVNfUEFZQUJMRV9PVVQuRlkyMDE4LjMxLzEyLzIwMjUBAAAAHaUCAAIAAAAIOTQuNjY3MTMBCAAAAAUAAAABMQEAAAAKMjA3ODgzMDI3MwMAAAADMTYwAgAAAAQ0MTgzBAAAAAEwBwAAAAoxMi8zMS8yMDI1CAAAAAoxMi8zMS8yMDE4CQAAAAEwNGVFKwGx3gi5RbQ+AbHeCDhDSVEuTkFTREFRR1M6Q01DU0EuSVFfREFZU19QQVlBQkxFX09VVC5GWTIwMTkuMzEvMTIvMjAyNQEAAAAdpQIAAgAAAAoxMDIuMzc3NzU1AQgAAAAFAAAAATEBAAAACy0yMTE0MDA4OTg4AwAAAAMxNjACAAAABDQxODMEAAAAATAHAAAACjEyLzMxLzIwMjUIAAAACjEyLzMxLzIwMTkJAAAAATA0ZUUrAbHeCLlFtD4Bsd4IOENJUS5OQVNEQVFHUzpDTUNTQS5JUV9EQVlTX1BBWUFCTEVfT1VULkZZMjAyMC4zMS8xMi8yMDI1AQAAAB2l</t>
  </si>
  <si>
    <t>AgACAAAACjEyMi42MDM3NzgBCAAAAAUAAAABMQEAAAALLTIwNjIzODI0OTMDAAAAAzE2MAIAAAAENDE4MwQAAAABMAcAAAAKMTIvMzEvMjAyNQgAAAAKMTIvMzEvMjAyMAkAAAABMDRlRSsBsd4IuUW0PgGx3gg4Q0lRLk5BU0RBUUdTOkNNQ1NBLklRX0RBWVNfUEFZQUJMRV9PVVQuRlkyMDIxLjMxLzEyLzIwMjUBAAAAHaUCAAIAAAAKMTEzLjA1NDczNQEIAAAABQAAAAExAQAAAAstMjAxMjAyNzEzNgMAAAADMTYwAgAAAAQ0MTgzBAAAAAEwBwAAAAoxMi8zMS8yMDI1CAAAAAoxMi8zMS8yMDIxCQAAAAEwNGVFKwGx3gi5RbQ+AbHeCDhDSVEuTkFTREFRR1M6Q01DU0EuSVFfREFZU19QQVlBQkxFX09VVC5GWTIwMjIuMzEvMTIvMjAyNQEAAAAdpQIAAgAAAAgxMTkuMzkxNQEIAAAABQAAAAExAQAAAAstMTk2MTM1Njg5MQMAAAADMTYwAgAAAAQ0MTgzBAAAAAEwBwAAAAoxMi8zMS8yMDI1CAAAAAoxMi8zMS8yMDIyCQAAAAEwNGVFKwGx3gi5RbQ+AbHeCDhDSVEuTkFTREFRR1M6Q01DU0EuSVFfREFZU19QQVlBQkxFX09VVC5GWTIwMjMuMzEvMTIvMjAyNQEAAAAdpQIAAgAAAAkxMjQuMDE0NTkBCAAAAAUAAAABMQEAAAALLTE5NjEzNTY4OTIDAAAAAzE2MAIAAAAENDE4MwQAAAABMAcAAAAKMTIvMzEvMjAyNQgAAAAKMTIvMzEvMjAyMwkAAAABMDRlRSsBsd4IuUW0PgGx3gg4Q0lRLk5BU0RBUUdTOkNNQ1NB</t>
  </si>
  <si>
    <t>LklRX0RBWVNfUEFZQUJMRV9PVVQuRlkyMDI0LjMxLzEyLzIwMjUBAAAAHaUCAAIAAAAKMTE3LjQyMzA0OAEIAAAABQAAAAExAQAAAAstMTk2MTM1NjkwOQMAAAADMTYwAgAAAAQ0MTgzBAAAAAEwBwAAAAoxMi8zMS8yMDI1CAAAAAoxMi8zMS8yMDI0CQAAAAEwNGVFKwGx3gi5RbQ+AbHeCDhDSVEuTkFTREFRR1M6Q01DU0EuSVFfREFZU19QQVlBQkxFX09VVC5GWTIwMjUuMzEvMTIvMjAyNQEAAAAdpQIAAwAAAAAANGVFKwGx3gi5RbQ+AbHeCDdDSVEuVVNELklRX0ZVTExfQ1VSVkVfQU5OVUFMLkFMTENPUlAuQUFBLjEwWS4zMS8xMi8yMDI1AQAAAAAAAAACAAAAETAuMDQ2NzMxODQ3ODEyMTE1ADRlRSsBsd4IeeHgMgGx3gg2Q0lRLlVTRC5JUV9GVUxMX0NVUlZFX0FOTlVBTC5BTExDT1JQLkFBLjEwWS4zMS8xMi8yMDI1AQAAAAAAAAACAAAAEjAuMDUwMTI3MDA5NTQzNTc0NAA0ZUUrAbHeCHnh4DIBsd4INUNJUS5VU0QuSVFfRlVMTF9DVVJWRV9BTk5VQUwuQUxMQ09SUC5BLjEwWS4zMS8xMi8yMDI1AQAAAAAAAAACAAAAEjAuMDUxOTQ0Nzc2MzQ3MDQzMwA0ZUUrAbHeCHnh4DIBsd4IN0NJUS5VU0QuSVFfRlVMTF9DVVJWRV9BTk5VQUwuQUxMQ09SUC5CQkIuMTBZLjMxLzEyLzIwMjUBAAAAAAAAAAIAAAASMC4wNTQ0NTI2ODM2NzE5ODIzADRlRSsBsd4IeeHgMgGx3gg2Q0lRLlVTRC5JUV9GVUxMX0NV</t>
  </si>
  <si>
    <t>UlZFX0FOTlVBTC5BTExDT1JQLkJCLjEwWS4zMS8xMi8yMDI1AQAAAAAAAAACAAAAEjAuMDYzODEwNTkzNTc1NzI4MwA0ZUUrAbHeCHnh4DIBsd4INUNJUS5VU0QuSVFfRlVMTF9DVVJWRV9BTk5VQUwuQUxMQ09SUC5CLjEwWS4zMS8xMi8yMDI1AQAAAAAAAAACAAAAEjAuMDc2MTk0MTcwMTA5OTk4NgA0ZUUrAbHeCHnh4DIBsd4INkNJUS5VU0QuSVFfRlVMTF9DVVJWRV9BTk5VQUwuQUxMQ09SUC5JRy4xMFkuMzEvMTIvMjAyNQEAAAAAAAAAAgAAABIwLjA1MzE4OTU2OTYyNjAyNzIANGVFKwGx3gh54eAyAbHeCC1DSVEuTllTRTpTUE9ULklRX0RBWVNfUEFZQUJMRV9PVVQuLjMxLzEyLzIwMjUBAAAAxU5yDQIAAAAIMjYuNzg5NTQBCAAAAAUAAAABMQEAAAALLTE5MDczMDk1MjUDAAAAAjUwAgAAAAQ0MTgzBAAAAAEwBwAAAAoxMi8zMS8yMDI1CAAAAAoxMi8zMS8yMDI1CQAAAAEwKM5VNgGx3ggozlU2AbHeCDBDSVEuTkFTREFRR1M6V0JELklRX0RBWVNfUEFZQUJMRV9PVVQuLjMxLzEyLzIwMjUBAAAAbdtZAQIAAAAJMTguOTU0MDg1AQgAAAAFAAAAATEBAAAACy0xOTA0MjYxNzkxAwAAAAMxNjACAAAABDQxODMEAAAAATAHAAAACjEyLzMxLzIwMjUIAAAACjEyLzMxLzIwMjUJAAAAATDUSPo1AbHeCNRI+jUBsd4ILENJUS5OWVNFOkRJUy5JUV9EQVlTX1BBWUFCTEVfT1VULi4zMS8xMi8yMDI1AQAAAEzs</t>
  </si>
  <si>
    <t>AgACAAAACTEyNy4xOTc5OAEIAAAABQAAAAExAQAAAAstMTkwODIyNjIzMQMAAAADMTYwAgAAAAQ0MTgzBAAAAAEwBwAAAAoxMi8zMS8yMDI1CAAAAAoxMi8yNy8yMDI1CQAAAAEw1Ej6NQGx3gjUSPo1AbHeCBVDSVEuTkFTREFRR1M6Q01DU0EuLi4FAAAAAQAAAAgAAAAWKEludmFsaWQgRm9ybXVsYSBOYW1lKSjOVTYBsd4IKM5VNgGx3ggUQ0lRLk5BU0RBUUdTOlBTS1kuLi4FAAAAAQAAAAgAAAAWKEludmFsaWQgRm9ybXVsYSBOYW1lKSjOVTYBsd4IKM5VNgGx3ggTQ0lRLk5BU0RBUUdTOldCRC4uLgUAAAABAAAACAAAABYoSW52YWxpZCBGb3JtdWxhIE5hbWUpKM5VNgGx3ggozlU2AbHeCA9DSVEuTllTRTpESVMuLi4FAAAAAQAAAAgAAAAWKEludmFsaWQgRm9ybXVsYSBOYW1lKSjOVTYBsd4IKM5VNgGx3ggUQ0lRLk5BU0RBUUdTOkJJTEkuLi4FAAAAAQAAAAgAAAAWKEludmFsaWQgRm9ybXVsYSBOYW1lKSjOVTYBsd4IKM5VNgGx3ggSQ0lRLk5BU0RBUUdTOklRLi4uBQAAAAEAAAAIAAAAFihJbnZhbGlkIEZvcm11bGEgTmFtZSkozlU2AbHeCCjOVTYBsd4IFENJUS5OQVNEQVFHUzpST0tVLi4uBQAAAAEAAAAIAAAAFihJbnZhbGlkIEZvcm11bGEgTmFtZSkozlU2AbHeCCjOVTYBsd4IEENJUS5OWVNFOlNQT1QuLi4FAAAAAQAAAAgAAAAWKEludmFsaWQgRm9ybXVsYSBOYW1lKSjOVTYBsd4IKM5VNgGx</t>
  </si>
  <si>
    <t>3ggUQ0lRLk5BU0RBUUdTOk5GTFguLi4FAAAAAQAAAAgAAAAWKEludmFsaWQgRm9ybXVsYSBOYW1lKSjOVTYBsd4IKM5VNgGx3ggtQ0lRLihJTlZBTElEIElERU5USUZJRVIpLklRX1RSX0lNUExJRURfRVZfUkVWBQAAAAAAAAAIAAAAGChJbnZhbGlkIFRyYW5zYWN0aW9uIElkKSjOVTYBsd4IYBHFPgGx3gguQ0lRLihJTlZBTElEIElERU5USUZJRVIpLklRX1RSX0lNUExJRURfRVZfRUJJVAUAAAAAAAAACAAAABgoSW52YWxpZCBUcmFuc2FjdGlvbiBJZCkozlU2AbHeCGARxT4Bsd4IKUNJUS4oSU5WQUxJRCBJREVOVElGSUVSKS5JUV9UUl9UQVJHRVROQU1FBQAAAAAAAAAIAAAAGChJbnZhbGlkIFRyYW5zYWN0aW9uIElkKSjOVTYBsd4IYBHFPgGx3ggoQ0lRLihJTlZBTElEIElERU5USUZJRVIpLklRX1RSX1RBUkdFVF9JRAUAAAAAAAAACAAAABgoSW52YWxpZCBUcmFuc2FjdGlvbiBJZCkozlU2AbHeCIfBWUABsd4IKUNJUS4oSU5WQUxJRCBJREVOVElGSUVSKS5JUV9UUl9UT1RBTFZBTFVFBQAAAAAAAAAIAAAAGChJbnZhbGlkIFRyYW5zYWN0aW9uIElkKSjOVTYBsd4I+qvCPgGx3ggoQ0lRLihJTlZBTElEIElERU5USUZJRVIpLklRX1RSX0JVWUVSTkFNRQUAAAAAAAAACAAAABgoSW52YWxpZCBUcmFuc2FjdGlvbiBJZCkozlU2AbHeCPqrwj4Bsd4IJUNJUS4oSU5WQUxJRCBJREVOVElGSUVSKS5JUV9U</t>
  </si>
  <si>
    <t>Ul9TVEFUVVMFAAAAAAAAAAgAAAAYKEludmFsaWQgVHJhbnNhY3Rpb24gSWQpKM5VNgGx3gj6q8I+AbHeCCdDSVEuKElOVkFMSUQgSURFTlRJRklFUikuSVFfVFJfQ1VSUkVOQ1kFAAAAAAAAAAgAAAAYKEludmFsaWQgVHJhbnNhY3Rpb24gSWQpKM5VNgGx3gj6q8I+AbHeCDBDSVEuKElOVkFMSUQgSURFTlRJRklFUikuSVFfVFJfSU1QTElFRF9FVl9FQklUREEFAAAAAAAAAAgAAAAYKEludmFsaWQgVHJhbnNhY3Rpb24gSWQpKM5VNgGx3gj6q8I+AbHeCCdDSVEuKElOVkFMSUQgSURFTlRJRklFUikuSVFfVFJfQU5OX0RBVEUFAAAAAAAAAAgAAAAYKEludmFsaWQgVHJhbnNhY3Rpb24gSWQpKM5VNgGx3gj6q8I+AbHeCB1DSVEuSVE1MDAyNzU3Ni5JUV9SQVRFX0xFVkVMLgEAAAA4XPsCAgAAAAcwLjQzOTgzACjOVTYBsd4IKM5VNgGx3ggbQ0lRLiVUQ01TWTEwLklRX1JBVEVfTEVWRUwuAQAAAB0fKAICAAAABDQuNDYAKM5VNgGx3ggozlU2AbHeCB1DSVEuSVE1MDAyNzUzNC5JUV9SQVRFX0xFVkVMLgEAAAAOXPsCAgAAAAYzLjI5NDcAKM5VNgGx3ggozlU2AbHeCB1DSVEuSVE1MDAyNzU2MS5JUV9SQVRFX0xFVkVMLgEAAAApXPsCAgAAAAczLjMyNzg3ACjOVTYBsd4IKM5VNgGx3ggeQ0lRLklRMTM2NTg1ODMyLklRX1JBVEVfTEVWRUwuAQAAAGgiJAgCAAAABzIuMDY2ODQAKM5VNgGx3ggozlU2AbHeCB1D</t>
  </si>
  <si>
    <t>SVEuSVE1MDAyNzU3Mi5JUV9SQVRFX0xFVkVMLgEAAAA0XPsCAgAAAAcyLjg2NjU5ACjOVTYBsd4IKM5VNgGx3ggdQ0lRLklRNTAwMjc1MjcuSVFfUkFURV9MRVZFTC4BAAAAB1z7AgIAAAAGNS4wNDQxACjOVTYBsd4IKM5VNgGx3ggdQ0lRLklRNTAwMjc1MzcuSVFfUkFURV9MRVZFTC4BAAAAEVz7AgIAAAAHMy42MTI3OAAozlU2AbHeCCjOVTYBsd4IHkNJUS5JUTEzNjU4NTg3Ni5JUV9SQVRFX0xFVkVMLgEAAACUIiQIAgAAAAcyLjkyNjI0ACjOVTYBsd4IKM5VNgGx3gghQ0lRLk5BU0RBUUdTOkNNQ1NBLklRX01BUktFVENBUC4uAQAAAB2lAgACAAAADDg4OTQ4LjQ5MTA2OQEGAAAABQAAAAExAQAAAAstMTg5NDg3NzYwMQMAAAADMTYwAgAAAAYxMDAwNTQEAAAAATAHAAAACTUvMTIvMjAyNijOVTYBsd4IKM5VNgGx3gggQ0lRLk5BU0RBUUdTOlBTS1kuSVFfTUFSS0VUQ0FQLi4BAAAAH6KnAQIAAAALMTE5NjMuOTU5OTkBBgAAAAUAAAABMQEAAAALLTE4OTE4MTA5NDkDAAAAAzE2MAIAAAAGMTAwMDU0BAAAAAEwBwAAAAk1LzEyLzIwMjYozlU2AbHeCCjOVTYBsd4IH0NJUS5OQVNEQVFHUzpXQkQuSVFfTUFSS0VUQ0FQLi4BAAAAbdtZAQIAAAALNjgxODEuNjgwMTcBBgAAAAUAAAABMQEAAAALLTE4OTEyNDcyOTgDAAAAAzE2MAIAAAAGMTAwMDU0BAAAAAEwBwAAAAk1LzEyLzIwMjYozlU2AbHeCCjOVTYB</t>
  </si>
  <si>
    <t>sd4IG0NJUS5OWVNFOkRJUy5JUV9NQVJLRVRDQVAuLgEAAABM7AIAAgAAAA0xODQzNDguMDUyNzcyAQYAAAAFAAAAATEBAAAACy0xODkxNDMxMzcwAwAAAAMxNjACAAAABjEwMDA1NAQAAAABMAcAAAAJNS8xMi8yMDI2KM5VNgGx3ggozlU2AbHeCCBDSVEuTkFTREFRR1M6QklMSS5JUV9NQVJLRVRDQVAuLgEAAAAiXGURAgAAAAs4OTI0LjA3ODUxOQEGAAAABQAAAAExAQAAAAstMTg5NjUxODk0MAMAAAADMTYwAgAAAAYxMDAwNTQEAAAAATAHAAAACTUvMTIvMjAyNijOVTYBsd4IKM5VNgGx3ggeQ0lRLk5BU0RBUUdTOklRLklRX01BUktFVENBUC4uAQAAAMIo5QUCAAAACzExMDkuNzc4NDQ1AQYAAAAFAAAAATEBAAAACy0xOTAxMDg0Nzk0AwAAAAMxNjACAAAABjEwMDA1NAQAAAABMAcAAAAJNS8xMi8yMDI2KM5VNgGx3ggozlU2AbHeCCBDSVEuTkFTREFRR1M6Uk9LVS5JUV9NQVJLRVRDQVAuLgEAAABJmoQAAgAAAAsxODg1MC4xNTM0NAEGAAAABQAAAAExAQAAAAstMTg5MTk1Nzc0MwMAAAADMTYwAgAAAAYxMDAwNTQEAAAAATAHAAAACTUvMTIvMjAyNijOVTYBsd4IKM5VNgGx3ggcQ0lRLk5ZU0U6U1BPVC5JUV9NQVJLRVRDQVAuLgEAAADFTnINAgAAAAw4ODk4Mi4wODEzOTgBBgAAAAUAAAABMQEAAAALLTE4OTM1MDU1NTYDAAAAAzE2MAIAAAAGMTAwMDU0BAAAAAEwBwAAAAk1LzEyLzIwMjYozlU2AbHe</t>
  </si>
  <si>
    <t>CCjOVTYBsd4IIENJUS5OQVNEQVFHUzpORkxYLklRX01BUktFVENBUC4uAQAAAAx9AAACAAAADTM2OTExOC41OTg5NjQBBgAAAAUAAAABMQEAAAALLTE4OTYyMTYxNzADAAAAAzE2MAIAAAAGMTAwMDU0BAAAAAEwBwAAAAk1LzEyLzIwMjYozlU2AbHeCCjOVTYBsd4IKENJUS5OQVNEQVFHUzpDTUNTQS5JUV9DVVNUT01fQkVUQS4tNVkuLlcBAAAAHaUCAAIAAAARMC42MDQwMjIyNzIxODEyMDQAKM5VNgGx3ggozlU2AbHeCCdDSVEuTkFTREFRR1M6UFNLWS5JUV9DVVNUT01fQkVUQS4tNVkuLlcBAAAAH6KnAQIAAAAQMS4xOTQzMjIwMzcxNDUwNgAozlU2AbHeCCjOVTYBsd4IJkNJUS5OQVNEQVFHUzpXQkQuSVFfQ1VTVE9NX0JFVEEuLTVZLi5XAQAAAG3bWQECAAAAEDEuMjY5MjAyOTg1OTA2NzIAKM5VNgGx3ggozlU2AbHeCCJDSVEuTllTRTpESVMuSVFfQ1VTVE9NX0JFVEEuLTVZLi5XAQAAAEzsAgACAAAAEDEuMDYwMDA2MzAzNDg4MzEAKM5VNgGx3ggozlU2AbHeCCdDSVEuTkFTREFRR1M6QklMSS5JUV9DVVNUT01fQkVUQS4tNVkuLlcBAAAAIlxlEQIAAAAQMS4xMDc4NjAzODk3MzM2NwAozlU2AbHeCCjOVTYBsd4IJUNJUS5OQVNEQVFHUzpJUS5JUV9DVVNUT01fQkVUQS4tNVkuLlcBAAAAwijlBQIAAAAQMS4wNDYzMjA5MDQ2MDIxNwAozlU2AbHeCCjOVTYBsd4IJ0NJUS5OQVNEQVFHUzpST0tVLklR</t>
  </si>
  <si>
    <t>X0NVU1RPTV9CRVRBLi01WS4uVwEAAABJmoQAAgAAABAyLjMzMDE2MzYxNDMyODg2ACjOVTYBsd4IKM5VNgGx3ggjQ0lRLk5ZU0U6U1BPVC5JUV9DVVNUT01fQkVUQS4tNVkuLlcBAAAAxU5yDQIAAAAQMS4zNTEzMjQ1MzU0Njg1NQAozlU2AbHeCCjOVTYBsd4IJ0NJUS5OQVNEQVFHUzpORkxYLklRX0NVU1RPTV9CRVRBLi01WS4uVwEAAAAMfQAAAgAAAA8xLjM3Mzc3MTQ4NTI0NzYAKM5VNgGx3ggozlU2AbHeCCZDSVEuTkFTREFRR1M6Q01DU0EuSVFfUEVSSU9EREFURS4xMDAwLgEAAAAdpQIABQAAAAozMS8xMi8yMDI1ACjOVTYBsd4IKM5VNgGx3ggrQ0lRLk5BU0RBUUdTOkNNQ1NBLklRX1RPVEFMX0RFQlQuNTAwLi5MRlIuLgEAAAAdpQIAAgAAAAU5NDYxMgEIAAAABQAAAAExAQAAAAstMTg5NDg3NzYwMQMAAAADMTYwAgAAAAQ0MTczBAAAAAEwBwAAAAk1LzEzLzIwMjYIAAAACTMvMzEvMjAyNgkAAAABMCjOVTYBsd4IKM5VNgGx3ggrQ0lRLk5BU0RBUUdTOkNNQ1NBLklRX0VGRkVDVF9UQVhfUkFURS4xMDAwLgEAAAAdpQIAAgAAAAcyMy42OTc4AQgAAAAFAAAAATEBAAAACy0xOTA4MDM3NzM2AwAAAAMxNjACAAAABDQzNzYEAAAAATAHAAAACTUvMTMvMjAyNggAAAAKMTIvMzEvMjAyNQkAAAABMCjOVTYBsd4IKM5VNgGx3ggnQ0lRLk5BU0RBUUdTOkNNQ1NBLklRX0VCSVRfTUFSR0lOLjEwMDAuAQAA</t>
  </si>
  <si>
    <t>AB2lAgACAAAABzE2LjcwODgBCAAAAAUAAAABMQEAAAALLTE5MDgwMzc3MzYDAAAAAzE2MAIAAAAENDA1MwQAAAABMAcAAAAJNS8xMy8yMDI2CAAAAAoxMi8zMS8yMDI1CQAAAAEwKM5VNgGx3ggozlU2AbHeCCVDSVEuTkFTREFRR1M6UFNLWS5JUV9QRVJJT0REQVRFLjEwMDAuAQAAAB+ipwEFAAAACjMxLzEyLzIwMjUAKM5VNgGx3ggozlU2AbHeCCpDSVEuTkFTREFRR1M6UFNLWS5JUV9FRkZFQ1RfVEFYX1JBVEUuMTAwMC4BAAAAH6KnAQMAAAACTk0BCAAAAAUAAAABMQEAAAALLTE5MDUwNDc1NTQDAAAAAzE2MAIAAAAENDM3NgQAAAABMAcAAAAJNS8xMy8yMDI2CAAAAAoxMi8zMS8yMDI1CQAAAAEwKM5VNgGx3ggozlU2AbHeCCZDSVEuTkFTREFRR1M6UFNLWS5JUV9FQklUX01BUkdJTi4xMDAwLgEAAAAfoqcBAgAAAAY2LjUzMTQBCAAAAAUAAAABMQEAAAALLTE5MDUwNDc1NTQDAAAAAzE2MAIAAAAENDA1MwQAAAABMAcAAAAJNS8xMy8yMDI2CAAAAAoxMi8zMS8yMDI1CQAAAAEwKM5VNgGx3ggozlU2AbHeCCpDSVEuTkFTREFRR1M6UFNLWS5JUV9UT1RBTF9ERUJULjUwMC4uTEZSLi4BAAAAH6KnAQIAAAAFMTY1OTUBCAAAAAUAAAABMQEAAAALLTE4OTE4MTA5NDkDAAAAAzE2MAIAAAAENDE3MwQAAAABMAcAAAAJNS8xMy8yMDI2CAAAAAkzLzMxLzIwMjYJAAAAATAozlU2AbHeCCjOVTYBsd4IJENJUS5O</t>
  </si>
  <si>
    <t>QVNEQVFHUzpXQkQuSVFfUEVSSU9EREFURS4xMDAwLgEAAABt21kBBQAAAAozMS8xMi8yMDI1ACjOVTYBsd4IKM5VNgGx3ggpQ0lRLk5BU0RBUUdTOldCRC5JUV9UT1RBTF9ERUJULjUwMC4uTEZSLi4BAAAAbdtZAQIAAAAFMzI0NjYBCAAAAAUAAAABMQEAAAALLTE4OTEyNDcyOTgDAAAAAzE2MAIAAAAENDE3MwQAAAABMAcAAAAJNS8xMy8yMDI2CAAAAAkzLzMxLzIwMjYJAAAAATAozlU2AbHeCCjOVTYBsd4IKUNJUS5OQVNEQVFHUzpXQkQuSVFfRUZGRUNUX1RBWF9SQVRFLjEwMDAuAQAAAG3bWQECAAAABzU0LjMwMTQBCAAAAAUAAAABMQEAAAALLTE5MDQyNjQxMzkDAAAAAzE2MAIAAAAENDM3NgQAAAABMAcAAAAJNS8xMy8yMDI2CAAAAAoxMi8zMS8yMDI1CQAAAAEwKM5VNgGx3ggozlU2AbHeCCVDSVEuTkFTREFRR1M6V0JELklRX0VCSVRfTUFSR0lOLjEwMDAuAQAAAG3bWQECAAAABjQuNDk5MQEIAAAABQAAAAExAQAAAAstMTkwNDI2NDEzOQMAAAADMTYwAgAAAAQ0MDUzBAAAAAEwBwAAAAk1LzEzLzIwMjYIAAAACjEyLzMxLzIwMjUJAAAAATAozlU2AbHeCCjOVTYBsd4IIENJUS5OWVNFOkRJUy5JUV9QRVJJT0REQVRFLjEwMDAuAQAAAEzsAgAFAAAACjI3LzA5LzIwMjUAKM5VNgGx3ggozlU2AbHeCCVDSVEuTllTRTpESVMuSVFfRUZGRUNUX1RBWF9SQVRFLjEwMDAuAQAAAEzsAgADAAAAAk5NAQgA</t>
  </si>
  <si>
    <t>AAAFAAAAATEBAAAACy0xOTE3MDE2MTUxAwAAAAMxNjACAAAABDQzNzYEAAAAATAHAAAACTUvMTMvMjAyNggAAAAJOS8yNy8yMDI1CQAAAAEwKM5VNgGx3ggozlU2AbHeCCFDSVEuTllTRTpESVMuSVFfRUJJVF9NQVJHSU4uMTAwMC4BAAAATOwCAAIAAAAGMTQuOTI1AQgAAAAFAAAAATEBAAAACy0xOTE3MDE2MTUxAwAAAAMxNjACAAAABDQwNTMEAAAAATAHAAAACTUvMTMvMjAyNggAAAAJOS8yNy8yMDI1CQAAAAEwKM5VNgGx3ggozlU2AbHeCCVDSVEuTllTRTpESVMuSVFfVE9UQUxfREVCVC41MDAuLkxGUi4uAQAAAEzsAgACAAAABTQ3MzU4AQgAAAAFAAAAATEBAAAACy0xODkxNDMxMzcwAwAAAAMxNjACAAAABDQxNzMEAAAAATAHAAAACTUvMTMvMjAyNggAAAAJMy8yOC8yMDI2CQAAAAEwKM5VNgGx3ggozlU2AbHeCCVDSVEuTkFTREFRR1M6QklMSS5JUV9QRVJJT0REQVRFLjEwMDAuAQAAACJcZREFAAAACjMxLzEyLzIwMjUAKM5VNgGx3ggozlU2AbHeCCpDSVEuTkFTREFRR1M6QklMSS5JUV9UT1RBTF9ERUJULjUwMC4uTEZSLi4BAAAAIlxlEQIAAAAHOTgxOS44NwEIAAAABQAAAAExAQAAAAstMTg5NjUxODk0MAMAAAACMzICAAAABDQxNzMEAAAAATAHAAAACTUvMTMvMjAyNggAAAAKMTIvMzEvMjAyNQkAAAABMCjOVTYBsd4IKM5VNgGx3ggqQ0lRLk5BU0RBUUdTOkJJTEkuSVFfRUZGRUNUX1RBWF9S</t>
  </si>
  <si>
    <t>QVRFLjEwMDAuAQAAACJcZRECAAAABjEuNDE5MQEIAAAABQAAAAExAQAAAAstMTg5NjUyNjI0NgMAAAACMzICAAAABDQzNzYEAAAAATAHAAAACTUvMTMvMjAyNggAAAAKMTIvMzEvMjAyNQkAAAABMCjOVTYBsd4IKM5VNgGx3ggmQ0lRLk5BU0RBUUdTOkJJTEkuSVFfRUJJVF9NQVJHSU4uMTAwMC4BAAAAIlxlEQIAAAAGMy43MDUyAQgAAAAFAAAAATEBAAAACy0xODk2NTI2MjQ2AwAAAAIzMgIAAAAENDA1MwQAAAABMAcAAAAJNS8xMy8yMDI2CAAAAAoxMi8zMS8yMDI1CQAAAAEwKM5VNgGx3ggozlU2AbHeCCNDSVEuTkFTREFRR1M6SVEuSVFfUEVSSU9EREFURS4xMDAwLgEAAADCKOUFBQAAAAozMS8xMi8yMDI1ACjOVTYBsd4IKM5VNgGx3ggoQ0lRLk5BU0RBUUdTOklRLklRX0VGRkVDVF9UQVhfUkFURS4xMDAwLgEAAADCKOUFAwAAAAJOTQEIAAAABQAAAAExAQAAAAstMTkwMTA4NTk1MAMAAAACMzICAAAABDQzNzYEAAAAATAHAAAACTUvMTMvMjAyNggAAAAKMTIvMzEvMjAyNQkAAAABMCjOVTYBsd4IKM5VNgGx3ggkQ0lRLk5BU0RBUUdTOklRLklRX0VCSVRfTUFSR0lOLjEwMDAuAQAAAMIo5QUCAAAABjAuODQwMgEIAAAABQAAAAExAQAAAAstMTkwMTA4NTk1MAMAAAACMzICAAAABDQwNTMEAAAAATAHAAAACTUvMTMvMjAyNggAAAAKMTIvMzEvMjAyNQkAAAABMCjOVTYBsd4IKM5VNgGx3ggoQ0lRLk5B</t>
  </si>
  <si>
    <t>U0RBUUdTOklRLklRX1RPVEFMX0RFQlQuNTAwLi5MRlIuLgEAAADCKOUFAgAAAAkxNTI0NS44OTYBCAAAAAUAAAABMQEAAAALLTE5MDEwODQ3OTQDAAAAAjMyAgAAAAQ0MTczBAAAAAEwBwAAAAk1LzEzLzIwMjYIAAAACjEyLzMxLzIwMjUJAAAAATAozlU2AbHeCCjOVTYBsd4IJUNJUS5OQVNEQVFHUzpST0tVLklRX1BFUklPRERBVEUuMTAwMC4BAAAASZqEAAUAAAAKMzEvMTIvMjAyNQAozlU2AbHeCCjOVTYBsd4IKkNJUS5OQVNEQVFHUzpST0tVLklRX1RPVEFMX0RFQlQuNTAwLi5MRlIuLgEAAABJmoQAAgAAAAc1MDEuMTE3AQgAAAAFAAAAATEBAAAACy0xODkxOTU3NzQzAwAAAAMxNjACAAAABDQxNzMEAAAAATAHAAAACTUvMTMvMjAyNggAAAAJMy8zMS8yMDI2CQAAAAEwKM5VNgGx3ggozlU2AbHeCCpDSVEuTkFTREFRR1M6Uk9LVS5JUV9FRkZFQ1RfVEFYX1JBVEUuMTAwMC4BAAAASZqEAAIAAAAGNS44OTY4AQgAAAAFAAAAATEBAAAACy0xOTA2NzAzMzE2AwAAAAMxNjACAAAABDQzNzYEAAAAATAHAAAACTUvMTMvMjAyNggAAAAKMTIvMzEvMjAyNQkAAAABMCjOVTYBsd4IKM5VNgGx3ggmQ0lRLk5BU0RBUUdTOlJPS1UuSVFfRUJJVF9NQVJHSU4uMTAwMC4BAAAASZqEAAIAAAAHLTAuMDA1NAEIAAAABQAAAAExAQAAAAstMTkwNjcwMzMxNgMAAAADMTYwAgAAAAQ0MDUzBAAAAAEwBwAAAAk1LzEzLzIw</t>
  </si>
  <si>
    <t>MjYIAAAACjEyLzMxLzIwMjUJAAAAATAozlU2AbHeCCjOVTYBsd4IJkNJUS5OWVNFOlNQT1QuSVFfVE9UQUxfREVCVC41MDAuLkxGUi4uAQAAAMVOcg0CAAAAAzQ3NgEIAAAABQAAAAExAQAAAAstMTg5MzUwNTU1NgMAAAACNTACAAAABDQxNzMEAAAAATAHAAAACTUvMTMvMjAyNggAAAAJMy8zMS8yMDI2CQAAAAEwKM5VNgGx3ggozlU2AbHeCCZDSVEuTllTRTpTUE9ULklRX0VGRkVDVF9UQVhfUkFURS4xMDAwLgEAAADFTnINAgAAAAYwLjUzOTUBCAAAAAUAAAABMQEAAAALLTE5MDczMTIzOTgDAAAAAjUwAgAAAAQ0Mzc2BAAAAAEwBwAAAAk1LzEzLzIwMjYIAAAACjEyLzMxLzIwMjUJAAAAATAozlU2AbHeCCjOVTYBsd4IIkNJUS5OWVNFOlNQT1QuSVFfRUJJVF9NQVJHSU4uMTAwMC4BAAAAxU5yDQIAAAAHMTIuNzg5NAEIAAAABQAAAAExAQAAAAstMTkwNzMxMjM5OAMAAAACNTACAAAABDQwNTMEAAAAATAHAAAACTUvMTMvMjAyNggAAAAKMTIvMzEvMjAyNQkAAAABMCjOVTYBsd4IKM5VNgGx3gglQ0lRLk5BU0RBUUdTOk5GTFguSVFfUEVSSU9EREFURS4xMDAwLgEAAAAMfQAABQAAAAozMS8xMi8yMDI1ACjOVTYBsd4IKM5VNgGx3ggqQ0lRLk5BU0RBUUdTOk5GTFguSVFfRUZGRUNUX1RBWF9SQVRFLjEwMDAuAQAAAAx9AAACAAAABzEzLjY4NzEBCAAAAAUAAAABMQEAAAALLTE5MDkyMjAyMTcDAAAAAzE2</t>
  </si>
  <si>
    <t>MAIAAAAENDM3NgQAAAABMAcAAAAJNS8xMy8yMDI2CAAAAAoxMi8zMS8yMDI1CQAAAAEwKM5VNgGx3ggozlU2AbHeCCZDSVEuTkFTREFRR1M6TkZMWC5JUV9FQklUX01BUkdJTi4xMDAwLgEAAAAMfQAAAgAAAAcyOS40OTQ3AQgAAAAFAAAAATEBAAAACy0xOTA5MjIwMjE3AwAAAAMxNjACAAAABDQwNTMEAAAAATAHAAAACTUvMTMvMjAyNggAAAAKMTIvMzEvMjAyNQkAAAABMCjOVTYBsd4IKM5VNgGx3ggqQ0lRLk5BU0RBUUdTOk5GTFguSVFfVE9UQUxfREVCVC41MDAuLkxGUi4uAQAAAAx9AAACAAAABzE2NzQyLjIBCAAAAAUAAAABMQEAAAALLTE4OTYyMTYxNzADAAAAAzE2MAIAAAAENDE3MwQAAAABMAcAAAAJNS8xMy8yMDI2CAAAAAkzLzMxLzIwMjYJAAAAATAozlU2AbHeCCjOVTYBsd4IMENJUS5OQVNEQVFHUzpORkxYLklRX1RPVEFMX1JFVi4uMzEvMTIvMjAyNS4uLlVTRAEAAAAMfQAAAgAAAAk0NTE4My4wMzYBCAAAAAUAAAABMQEAAAALLTE5MDkyMTk4ODMDAAAAAzE2MAIAAAACMjgEAAAAATAHAAAACjEyLzMxLzIwMjUIAAAACjEyLzMxLzIwMjUJAAAAATAozlU2AbHeCCjOVTYBsd4ILENJUS5OWVNFOlNQT1QuSVFfVE9UQUxfUkVWLi4zMS8xMi8yMDI1Li4uVVNEAQAAAMVOcg0CAAAADDIwMTc4LjQ2NjYwNAEIAAAABQAAAAExAQAAAAstMTkwNzMwOTUyNQMAAAADMTYwAgAAAAIyOAQAAAABMAcA</t>
  </si>
  <si>
    <t>AAAKMTIvMzEvMjAyNQgAAAAKMTIvMzEvMjAyNQkAAAABMCjOVTYBsd4IKM5VNgGx3ggwQ0lRLk5BU0RBUUdTOlJPS1UuSVFfVE9UQUxfUkVWLi4zMS8xMi8yMDI1Li4uVVNEAQAAAEmahAACAAAACDQ3MzcuMjUxAQgAAAAFAAAAATEBAAAACy0xOTA2NzAzMTE1AwAAAAMxNjACAAAAAjI4BAAAAAEwBwAAAAoxMi8zMS8yMDI1CAAAAAoxMi8zMS8yMDI1CQAAAAEwKM5VNgGx3ggozlU2AbHeCC9DSVEuTkFTREFRR1M6V0JELklRX1RPVEFMX1JFVi4uMzEvMTIvMjAyNS4uLlVTRAEAAABt21kBAgAAAAUzNzI5NgEIAAAABQAAAAExAQAAAAstMTkwNDI2MTc5MQMAAAADMTYwAgAAAAIyOAQAAAABMAcAAAAKMTIvMzEvMjAyNQgAAAAKMTIvMzEvMjAyNQkAAAABMCjOVTYBsd4IKM5VNgGx3ggwQ0lRLk5BU0RBUUdTOkJJTEkuSVFfVE9UQUxfUkVWLi4zMS8xMi8yMDI1Li4uVVNEAQAAACJcZRECAAAACzQzMzguODY2MjM0AQgAAAAFAAAAATEBAAAACy0xODk2NTE4OTQ2AwAAAAMxNjACAAAAAjI4BAAAAAEwBwAAAAoxMi8zMS8yMDI1CAAAAAoxMi8zMS8yMDI1CQAAAAEwKM5VNgGx3ggozlU2AbHeCDBDSVEuTkFTREFRR1M6UFNLWS5JUV9UT1RBTF9SRVYuLjMxLzEyLzIwMjUuLi5VU0QBAAAAH6KnAQIAAAAFMjg4OTEBCAAAAAUAAAABMQEAAAALLTE5MDUwNDU4NjgDAAAAAzE2MAIAAAACMjgEAAAAATAHAAAACjEy</t>
  </si>
  <si>
    <t>LzMxLzIwMjUIAAAACjEyLzMxLzIwMjUJAAAAATAozlU2AbHeCCjOVTYBsd4IK0NJUS5OWVNFOkRJUy5JUV9UT1RBTF9SRVYuLjMxLzEyLzIwMjUuLi5VU0QBAAAATOwCAAIAAAAFOTU3MTYBCAAAAAUAAAABMQEAAAALLTE5MDgyMjYyMzEDAAAAAzE2MAIAAAACMjgEAAAAATAHAAAACjEyLzMxLzIwMjUIAAAACjEyLzI3LzIwMjUJAAAAATAozlU2AbHeCCjOVTYBsd4IMUNJUS5OQVNEQVFHUzpDTUNTQS5JUV9UT1RBTF9SRVYuLjMxLzEyLzIwMjUuLi5VU0QBAAAAHaUCAAIAAAAGMTIzNzA3AQgAAAAFAAAAATEBAAAACy0xOTA4MDM1NDgwAwAAAAMxNjACAAAAAjI4BAAAAAEwBwAAAAoxMi8zMS8yMDI1CAAAAAoxMi8zMS8yMDI1CQAAAAEwKM5VNgGx3ggozlU2AbHeCC5DSVEuTkFTREFRR1M6SVEuSVFfVE9UQUxfUkVWLi4zMS8xMi8yMDI1Li4uVVNEAQAAAMIo5QUCAAAACzM5MDEuODc4NjQ0AQgAAAAFAAAAATEBAAAACy0xOTAxMDg0NzkyAwAAAAMxNjACAAAAAjI4BAAAAAEwBwAAAAoxMi8zMS8yMDI1CAAAAAoxMi8zMS8yMDI1CQAAAAEwKM5VNgGx3ggozlU2AbHeCClDSVEuTkFTREFRR1M6TkZMWC5JUV9HUC4uMzEvMTIvMjAyNS4uLlVTRAEAAAAMfQAAAgAAAAkyMTkwNy43MDcBCAAAAAUAAAABMQEAAAALLTE5MDkyMTk4ODMDAAAAAzE2MAIAAAACMTAEAAAAATAHAAAACjEyLzMxLzIwMjUIAAAACjEy</t>
  </si>
  <si>
    <t>LzMxLzIwMjUJAAAAATAozlU2AbHeCCjOVTYBsd4IJUNJUS5OWVNFOlNQT1QuSVFfR1AuLjMxLzEyLzIwMjUuLi5VU0QBAAAAxU5yDQIAAAALNjQ1Mi45NzY0MDMBCAAAAAUAAAABMQEAAAALLTE5MDczMDk1MjUDAAAAAzE2MAIAAAACMTAEAAAAATAHAAAACjEyLzMxLzIwMjUIAAAACjEyLzMxLzIwMjUJAAAAATAozlU2AbHeCCjOVTYBsd4IKUNJUS5OQVNEQVFHUzpST0tVLklRX0dQLi4zMS8xMi8yMDI1Li4uVVNEAQAAAEmahAACAAAACDIwNzQuNDI0AQgAAAAFAAAAATEBAAAACy0xOTA2NzAzMTE1AwAAAAMxNjACAAAAAjEwBAAAAAEwBwAAAAoxMi8zMS8yMDI1CAAAAAoxMi8zMS8yMDI1CQAAAAEwKM5VNgGx3ggozlU2AbHeCClDSVEuTkFTREFRR1M6UFNLWS5JUV9HUC4uMzEvMTIvMjAyNS4uLlVTRAEAAAAfoqcBAgAAAAQ5MTk2AQgAAAAFAAAAATEBAAAACy0xOTA1MDQ1ODY4AwAAAAMxNjACAAAAAjEwBAAAAAEwBwAAAAoxMi8zMS8yMDI1CAAAAAoxMi8zMS8yMDI1CQAAAAEwKM5VNgGx3ggozlU2AbHeCCpDSVEuTkFTREFRR1M6Q01DU0EuSVFfR1AuLjMxLzEyLzIwMjUuLi5VU0QBAAAAHaUCAAIAAAAFODg3NTYBCAAAAAUAAAABMQEAAAALLTE5MDgwMzU0ODADAAAAAzE2MAIAAAACMTAEAAAAATAHAAAACjEyLzMxLzIwMjUIAAAACjEyLzMxLzIwMjUJAAAAATAozlU2AbHeCCjOVTYBsd4IJ0NJUS5O</t>
  </si>
  <si>
    <t>QVNEQVFHUzpJUS5JUV9HUC4uMzEvMTIvMjAyNS4uLlVTRAEAAADCKOUFAgAAAAo4MjEuOTM2NTQ5AQgAAAAFAAAAATEBAAAACy0xOTAxMDg0NzkyAwAAAAMxNjACAAAAAjEwBAAAAAEwBwAAAAoxMi8zMS8yMDI1CAAAAAoxMi8zMS8yMDI1CQAAAAEwKM5VNgGx3ggozlU2AbHeCClDSVEuTkFTREFRR1M6QklMSS5JUV9HUC4uMzEvMTIvMjAyNS4uLlVTRAEAAAAiXGURAgAAAAsxNTg5LjAwMTQ4NgEIAAAABQAAAAExAQAAAAstMTg5NjUxODk0NgMAAAADMTYwAgAAAAIxMAQAAAABMAcAAAAKMTIvMzEvMjAyNQgAAAAKMTIvMzEvMjAyNQkAAAABMCjOVTYBsd4IKM5VNgGx3ggkQ0lRLk5ZU0U6RElTLklRX0dQLi4zMS8xMi8yMDI1Li4uVVNEAQAAAEzsAgACAAAABTM1Njg3AQgAAAAFAAAAATEBAAAACy0xOTA4MjI2MjMxAwAAAAMxNjACAAAAAjEwBAAAAAEwBwAAAAoxMi8zMS8yMDI1CAAAAAoxMi8yNy8yMDI1CQAAAAEwKM5VNgGx3ggozlU2AbHeCChDSVEuTkFTREFRR1M6V0JELklRX0dQLi4zMS8xMi8yMDI1Li4uVVNEAQAAAG3bWQECAAAABTE2NjE0AQgAAAAFAAAAATEBAAAACy0xOTA0MjYxNzkxAwAAAAMxNjACAAAAAjEwBAAAAAEwBwAAAAoxMi8zMS8yMDI1CAAAAAoxMi8zMS8yMDI1CQAAAAEwKM5VNgGx3ggozlU2AbHeCClDSVEuTllTRTpTUE9ULklRX0VCSVREQS4uMzEvMTIvMjAyNS4uLlVTRAEA</t>
  </si>
  <si>
    <t>AADFTnINAgAAAAsyNjQ2LjQ3MTc2MwEIAAAABQAAAAExAQAAAAstMTkwNzMwOTUyNQMAAAADMTYwAgAAAAQ0MDUxBAAAAAEwBwAAAAoxMi8zMS8yMDI1CAAAAAoxMi8zMS8yMDI1CQAAAAEwKM5VNgGx3ggozlU2AbHeCC1DSVEuTkFTREFRR1M6Uk9LVS5JUV9FQklUREEuLjMxLzEyLzIwMjUuLi5VU0QBAAAASZqEAAIAAAAHMjc4LjE3NAEIAAAABQAAAAExAQAAAAstMTkwNjcwMzExNQMAAAADMTYwAgAAAAQ0MDUxBAAAAAEwBwAAAAoxMi8zMS8yMDI1CAAAAAoxMi8zMS8yMDI1CQAAAAEwKM5VNgGx3ggozlU2AbHeCC1DSVEuTkFTREFRR1M6UFNLWS5JUV9FQklUREEuLjMxLzEyLzIwMjUuLi5VU0QBAAAAH6KnAQIAAAAEMjY4MQEIAAAABQAAAAExAQAAAAstMTkwNTA0NTg2OAMAAAADMTYwAgAAAAQ0MDUxBAAAAAEwBwAAAAoxMi8zMS8yMDI1CAAAAAoxMi8zMS8yMDI1CQAAAAEwKM5VNgGx3ggozlU2AbHeCChDSVEuTllTRTpESVMuSVFfRUJJVERBLi4zMS8xMi8yMDI1Li4uVVNEAQAAAEzsAgACAAAABTE5MzA2AQgAAAAFAAAAATEBAAAACy0xOTA4MjI2MjMxAwAAAAMxNjACAAAABDQwNTEEAAAAATAHAAAACjEyLzMxLzIwMjUIAAAACjEyLzI3LzIwMjUJAAAAATAozlU2AbHeCCjOVTYBsd4ILkNJUS5OQVNEQVFHUzpDTUNTQS5JUV9FQklUREEuLjMxLzEyLzIwMjUuLi5VU0QBAAAAHaUCAAIAAAAFMzY4</t>
  </si>
  <si>
    <t>ODABCAAAAAUAAAABMQEAAAALLTE5MDgwMzU0ODADAAAAAzE2MAIAAAAENDA1MQQAAAABMAcAAAAKMTIvMzEvMjAyNQgAAAAKMTIvMzEvMjAyNQkAAAABMCjOVTYBsd4IKM5VNgGx3ggtQ0lRLk5BU0RBUUdTOk5GTFguSVFfRUJJVERBLi4zMS8xMi8yMDI1Li4uVVNEAQAAAAx9AAACAAAACTEzNjU5Ljk5MgEIAAAABQAAAAExAQAAAAstMTkwOTIxOTg4MwMAAAADMTYwAgAAAAQ0MDUxBAAAAAEwBwAAAAoxMi8zMS8yMDI1CAAAAAoxMi8zMS8yMDI1CQAAAAEwKM5VNgGx3ggozlU2AbHeCCtDSVEuTkFTREFRR1M6SVEuSVFfRUJJVERBLi4zMS8xMi8yMDI1Li4uVVNEAQAAAMIo5QUCAAAACjk0MC44NzQ0MTMBCAAAAAUAAAABMQEAAAALLTE5MDEwODQ3OTIDAAAAAzE2MAIAAAAENDA1MQQAAAABMAcAAAAKMTIvMzEvMjAyNQgAAAAKMTIvMzEvMjAyNQkAAAABMCjOVTYBsd4IKM5VNgGx3ggsQ0lRLk5BU0RBUUdTOldCRC5JUV9FQklUREEuLjMxLzEyLzIwMjUuLi5VU0QBAAAAbdtZAQIAAAAENzM2MgEIAAAABQAAAAExAQAAAAstMTkwNDI2MTc5MQMAAAADMTYwAgAAAAQ0MDUxBAAAAAEwBwAAAAoxMi8zMS8yMDI1CAAAAAoxMi8zMS8yMDI1CQAAAAEwKM5VNgGx3ggozlU2AbHeCC1DSVEuTkFTREFRR1M6QklMSS5JUV9FQklUREEuLjMxLzEyLzIwMjUuLi5VU0QBAAAAIlxlEQIAAAAKNDUwLjQ0NDIxMgEIAAAA</t>
  </si>
  <si>
    <t>BQAAAAExAQAAAAstMTg5NjUxODk0NgMAAAADMTYwAgAAAAQ0MDUxBAAAAAEwBwAAAAoxMi8zMS8yMDI1CAAAAAoxMi8zMS8yMDI1CQAAAAEwKM5VNgGx3ggozlU2AbHeCCxDSVEuTkFTREFRR1M6Q01DU0EuSVFfRUJJVC4uMzEvMTIvMjAyNS4uLlVTRAEAAAAdpQIAAgAAAAUyMDY3MAEIAAAABQAAAAExAQAAAAstMTkwODAzNTQ4MAMAAAADMTYwAgAAAAM0MDAEAAAAATAHAAAACjEyLzMxLzIwMjUIAAAACjEyLzMxLzIwMjUJAAAAATAozlU2AbHeCCjOVTYBsd4IK0NJUS5OQVNEQVFHUzpST0tVLklRX0VCSVQuLjMxLzEyLzIwMjUuLi5VU0QBAAAASZqEAAIAAAAFLTAuMjYBCAAAAAUAAAABMQEAAAALLTE5MDY3MDMxMTUDAAAAAzE2MAIAAAADNDAwBAAAAAEwBwAAAAoxMi8zMS8yMDI1CAAAAAoxMi8zMS8yMDI1CQAAAAEwKM5VNgGx3ggozlU2AbHeCCtDSVEuTkFTREFRR1M6TkZMWC5JUV9FQklULi4zMS8xMi8yMDI1Li4uVVNEAQAAAAx9AAACAAAACTEzMzI2LjYwMwEIAAAABQAAAAExAQAAAAstMTkwOTIxOTg4MwMAAAADMTYwAgAAAAM0MDAEAAAAATAHAAAACjEyLzMxLzIwMjUIAAAACjEyLzMxLzIwMjUJAAAAATAozlU2AbHeCCjOVTYBsd4IKUNJUS5OQVNEQVFHUzpJUS5JUV9FQklULi4zMS8xMi8yMDI1Li4uVVNEAQAAAMIo5QUCAAAACTMyLjc4NTUxNAEIAAAABQAAAAExAQAAAAstMTkwMTA4NDc5</t>
  </si>
  <si>
    <t>MgMAAAADMTYwAgAAAAM0MDAEAAAAATAHAAAACjEyLzMxLzIwMjUIAAAACjEyLzMxLzIwMjUJAAAAATAozlU2AbHeCCjOVTYBsd4IKkNJUS5OQVNEQVFHUzpXQkQuSVFfRUJJVC4uMzEvMTIvMjAyNS4uLlVTRAEAAABt21kBAgAAAAQxNjc4AQgAAAAFAAAAATEBAAAACy0xOTA0MjYxNzkxAwAAAAMxNjACAAAAAzQwMAQAAAABMAcAAAAKMTIvMzEvMjAyNQgAAAAKMTIvMzEvMjAyNQkAAAABMCjOVTYBsd4IKM5VNgGx3ggrQ0lRLk5BU0RBUUdTOlBTS1kuSVFfRUJJVC4uMzEvMTIvMjAyNS4uLlVTRAEAAAAfoqcBAgAAAAQxODg3AQgAAAAFAAAAATEBAAAACy0xOTA1MDQ1ODY4AwAAAAMxNjACAAAAAzQwMAQAAAABMAcAAAAKMTIvMzEvMjAyNQgAAAAKMTIvMzEvMjAyNQkAAAABMCjOVTYBsd4IKM5VNgGx3ggrQ0lRLk5BU0RBUUdTOkJJTEkuSVFfRUJJVC4uMzEvMTIvMjAyNS4uLlVTRAEAAAAiXGURAgAAAAoxNjAuNzY0NDY5AQgAAAAFAAAAATEBAAAACy0xODk2NTE4OTQ2AwAAAAMxNjACAAAAAzQwMAQAAAABMAcAAAAKMTIvMzEvMjAyNQgAAAAKMTIvMzEvMjAyNQkAAAABMCjOVTYBsd4IKM5VNgGx3ggnQ0lRLk5ZU0U6U1BPVC5JUV9FQklULi4zMS8xMi8yMDI1Li4uVVNEAQAAAMVOcg0CAAAACzI1ODAuNzIwOTEyAQgAAAAFAAAAATEBAAAACy0xOTA3MzA5NTI1AwAAAAMxNjACAAAAAzQwMAQAAAABMAcA</t>
  </si>
  <si>
    <t>AAAKMTIvMzEvMjAyNQgAAAAKMTIvMzEvMjAyNQkAAAABMCjOVTYBsd4IKM5VNgGx3ggmQ0lRLk5ZU0U6RElTLklRX0VCSVQuLjMxLzEyLzIwMjUuLi5VU0QBAAAATOwCAAIAAAAFMTM5NDABCAAAAAUAAAABMQEAAAALLTE5MDgyMjYyMzEDAAAAAzE2MAIAAAADNDAwBAAAAAEwBwAAAAoxMi8zMS8yMDI1CAAAAAoxMi8yNy8yMDI1CQAAAAEwKM5VNgGx3ggozlU2AbHeCDZDSVEuTkFTREFRR1M6SVEuSVFfUkVUVVJOX0lOVkVTVEVEX0NBUElUQUwuLjMxLzEyLzIwMjUBAAAAwijlBQIAAAAHLTAuNzM1MgAozlU2AbHeCCjOVTYBsd4IOUNJUS5OQVNEQVFHUzpDTUNTQS5JUV9SRVRVUk5fSU5WRVNURURfQ0FQSVRBTC4uMzEvMTIvMjAyNQEAAAAdpQIAAgAAAAY3LjY2NTEAKM5VNgGx3ggozlU2AbHeCDNDSVEuTllTRTpESVMuSVFfUkVUVVJOX0lOVkVTVEVEX0NBUElUQUwuLjMxLzEyLzIwMjUBAAAATOwCAAIAAAAGNi42ODMxACjOVTYBsd4IKM5VNgGx3gg3Q0lRLk5BU0RBUUdTOldCRC5JUV9SRVRVUk5fSU5WRVNURURfQ0FQSVRBTC4uMzEvMTIvMjAyNQEAAABt21kBAgAAAAYwLjk1NzMAKM5VNgGx3ggozlU2AbHeCDRDSVEuTllTRTpTUE9ULklRX1JFVFVSTl9JTlZFU1RFRF9DQVBJVEFMLi4zMS8xMi8yMDI1AQAAAMVOcg0CAAAABzI0LjczNDQAKM5VNgGx3ggozlU2AbHeCDhDSVEuTkFTREFRR1M6Uk9L</t>
  </si>
  <si>
    <t>VS5JUV9SRVRVUk5fSU5WRVNURURfQ0FQSVRBTC4uMzEvMTIvMjAyNQEAAABJmoQAAgAAAAYyLjgyMDMAKM5VNgGx3ggozlU2AbHeCDhDSVEuTkFTREFRR1M6UFNLWS5JUV9SRVRVUk5fSU5WRVNURURfQ0FQSVRBTC4uMzEvMTIvMjAyNQEAAAAfoqcBAgAAAActMi42ODAxACjOVTYBsd4IKM5VNgGx3gg4Q0lRLk5BU0RBUUdTOk5GTFguSVFfUkVUVVJOX0lOVkVTVEVEX0NBUElUQUwuLjMxLzEyLzIwMjUBAAAADH0AAAIAAAAFMjUuNDQAKM5VNgGx3ggozlU2AbHeCDhDSVEuTkFTREFRR1M6QklMSS5JUV9SRVRVUk5fSU5WRVNURURfQ0FQSVRBTC4uMzEvMTIvMjAyNQEAAAAiXGURAgAAAAY1LjM2MTQAKM5VNgGx3ggozlU2AbHeCDJDSVEuTkFTREFRR1M6V0JELklRX0RBWVNfSU5WRU5UT1JZX09VVC4uMzEvMTIvMjAyNQEAAABt21kBAwAAAAAAKM5VNgGx3ggozlU2AbHeCDNDSVEuTkFTREFRR1M6TkZMWC5JUV9EQVlTX0lOVkVOVE9SWV9PVVQuLjMxLzEyLzIwMjUBAAAADH0AAAMAAAAAACjOVTYBsd4IKM5VNgGx3ggzQ0lRLk5BU0RBUUdTOlBTS1kuSVFfREFZU19JTlZFTlRPUllfT1VULi4zMS8xMi8yMDI1AQAAAB+ipwECAAAACDI2Ljc3OTMyAQgAAAAFAAAAATEBAAAACy0xOTA1MDQ1ODY4AwAAAAMxNjACAAAABDQwMzUEAAAAATAHAAAACjEyLzMxLzIwMjUIAAAACjEyLzMxLzIwMjUJAAAAATAozlU2</t>
  </si>
  <si>
    <t>AbHeCCjOVTYBsd4INENJUS5OQVNEQVFHUzpDTUNTQS5JUV9EQVlTX0lOVkVOVE9SWV9PVVQuLjMxLzEyLzIwMjUBAAAAHaUCAAMAAAAAACjOVTYBsd4IKM5VNgGx3ggvQ0lRLk5ZU0U6U1BPVC5JUV9EQVlTX0lOVkVOVE9SWV9PVVQuLjMxLzEyLzIwMjUBAAAAxU5yDQMAAAAAACjOVTYBsd4IKM5VNgGx3ggzQ0lRLk5BU0RBUUdTOlJPS1UuSVFfREFZU19JTlZFTlRPUllfT1VULi4zMS8xMi8yMDI1AQAAAEmahAACAAAACDE4LjcwNDA2AQgAAAAFAAAAATEBAAAACy0xOTA2NzAzMTE1AwAAAAMxNjACAAAABDQwMzUEAAAAATAHAAAACjEyLzMxLzIwMjUIAAAACjEyLzMxLzIwMjUJAAAAATAozlU2AbHeCCjOVTYBsd4IMUNJUS5OQVNEQVFHUzpJUS5JUV9EQVlTX0lOVkVOVE9SWV9PVVQuLjMxLzEyLzIwMjUBAAAAwijlBQMAAAAAACjOVTYBsd4IKM5VNgGx3ggzQ0lRLk5BU0RBUUdTOkJJTEkuSVFfREFZU19JTlZFTlRPUllfT1VULi4zMS8xMi8yMDI1AQAAACJcZRECAAAABzUuNDQyODgBCAAAAAUAAAABMQEAAAALLTE4OTY1MTg5NDYDAAAAAjMyAgAAAAQ0MDM1BAAAAAEwBwAAAAoxMi8zMS8yMDI1CAAAAAoxMi8zMS8yMDI1CQAAAAEwKM5VNgGx3ggozlU2AbHeCC5DSVEuTllTRTpESVMuSVFfREFZU19JTlZFTlRPUllfT1VULi4zMS8xMi8yMDI1AQAAAEzsAgACAAAACTIwLjIxNjE5NgEIAAAABQAAAAEx</t>
  </si>
  <si>
    <t>AQAAAAstMTkwODIyNjIzMQMAAAADMTYwAgAAAAQ0MDM1BAAAAAEwBwAAAAoxMi8zMS8yMDI1CAAAAAoxMi8yNy8yMDI1CQAAAAEwKM5VNgGx3ggozlU2AbHeCC9DSVEuTkFTREFRR1M6UFNLWS5JUV9EQVlTX1NBTEVTX09VVC4uMzEvMTIvMjAyNQEAAAAfoqcBAgAAAAg4NS40OTgzMwEIAAAABQAAAAExAQAAAAstMTkwNTA0NTg2OAMAAAADMTYwAgAAAAQ0MDQyBAAAAAEwBwAAAAoxMi8zMS8yMDI1CAAAAAoxMi8zMS8yMDI1CQAAAAEwKM5VNgGx3ggozlU2AbHeCCtDSVEuTllTRTpTUE9ULklRX0RBWVNfU0FMRVNfT1VULi4zMS8xMi8yMDI1AQAAAMVOcg0CAAAACDExLjQyNTk2AQgAAAAFAAAAATEBAAAACy0xOTA3MzA5NTI1AwAAAAI1MAIAAAAENDA0MgQAAAABMAcAAAAKMTIvMzEvMjAyNQgAAAAKMTIvMzEvMjAyNQkAAAABMCjOVTYBsd4IKM5VNgGx3ggtQ0lRLk5BU0RBUUdTOklRLklRX0RBWVNfU0FMRVNfT1VULi4zMS8xMi8yMDI1AQAAAMIo5QUCAAAACDU3LjUzNjQxAQgAAAAFAAAAATEBAAAACy0xOTAxMDg0NzkyAwAAAAIzMgIAAAAENDA0MgQAAAABMAcAAAAKMTIvMzEvMjAyNQgAAAAKMTIvMzEvMjAyNQkAAAABMCjOVTYBsd4IKM5VNgGx3ggqQ0lRLk5ZU0U6RElTLklRX0RBWVNfU0FMRVNfT1VULi4zMS8xMi8yMDI1AQAAAEzsAgACAAAACTU0LjgwMTY1NgEIAAAABQAAAAExAQAAAAstMTkw</t>
  </si>
  <si>
    <t>ODIyNjIzMQMAAAADMTYwAgAAAAQ0MDQyBAAAAAEwBwAAAAoxMi8zMS8yMDI1CAAAAAoxMi8yNy8yMDI1CQAAAAEwKM5VNgGx3ggozlU2AbHeCC9DSVEuTkFTREFRR1M6TkZMWC5JUV9EQVlTX1NBTEVTX09VVC4uMzEvMTIvMjAyNQEAAAAMfQAAAgAAAAkxMy41OTg4MDUBCAAAAAUAAAABMQEAAAALLTE5MDkyMTk4ODMDAAAAAzE2MAIAAAAENDA0MgQAAAABMAcAAAAKMTIvMzEvMjAyNQgAAAAKMTIvMzEvMjAyNQkAAAABMCjOVTYBsd4IKM5VNgGx3ggvQ0lRLk5BU0RBUUdTOlJPS1UuSVFfREFZU19TQUxFU19PVVQuLjMxLzEyLzIwMjUBAAAASZqEAAIAAAAJNjUuMzAxMDU1AQgAAAAFAAAAATEBAAAACy0xOTA2NzAzMTE1AwAAAAMxNjACAAAABDQwNDIEAAAAATAHAAAACjEyLzMxLzIwMjUIAAAACjEyLzMxLzIwMjUJAAAAATAozlU2AbHeCCjOVTYBsd4IL0NJUS5OQVNEQVFHUzpCSUxJLklRX0RBWVNfU0FMRVNfT1VULi4zMS8xMi8yMDI1AQAAACJcZRECAAAACDE1LjAwNDQyAQgAAAAFAAAAATEBAAAACy0xODk2NTE4OTQ2AwAAAAIzMgIAAAAENDA0MgQAAAABMAcAAAAKMTIvMzEvMjAyNQgAAAAKMTIvMzEvMjAyNQkAAAABMCjOVTYBsd4IKM5VNgGx3ggwQ0lRLk5BU0RBUUdTOkNNQ1NBLklRX0RBWVNfU0FMRVNfT1VULi4zMS8xMi8yMDI1AQAAAB2lAgACAAAACDQwLjYxMzU1AQgAAAAFAAAAATEBAAAA</t>
  </si>
  <si>
    <t>Cy0xOTA4MDM1NDgwAwAAAAMxNjACAAAABDQwNDIEAAAAATAHAAAACjEyLzMxLzIwMjUIAAAACjEyLzMxLzIwMjUJAAAAATAozlU2AbHeCCjOVTYBsd4ILkNJUS5OQVNEQVFHUzpXQkQuSVFfREFZU19TQUxFU19PVVQuLjMxLzEyLzIwMjUBAAAAbdtZAQIAAAAINDEuMDIyMzUBCAAAAAUAAAABMQEAAAALLTE5MDQyNjE3OTEDAAAAAzE2MAIAAAAENDA0MgQAAAABMAcAAAAKMTIvMzEvMjAyNQgAAAAKMTIvMzEvMjAyNQkAAAABMCjOVTYBsd4IKM5VNgGx3ggxQ0lRLk5BU0RBUUdTOlBTS1kuSVFfREFZU19QQVlBQkxFX09VVC4uMzEvMTIvMjAyNQEAAAAfoqcBAgAAAAgxNy4xOTgwNwEIAAAABQAAAAExAQAAAAstMTkwNTA0NTg2OAMAAAADMTYwAgAAAAQ0MTgzBAAAAAEwBwAAAAoxMi8zMS8yMDI1CAAAAAoxMi8zMS8yMDI1CQAAAAEwKM5VNgGx3ggozlU2AbHeCC9DSVEuTkFTREFRR1M6SVEuSVFfREFZU19QQVlBQkxFX09VVC4uMzEvMTIvMjAyNQEAAADCKOUFAgAAAAkxMTEuMjcyNDQBCAAAAAUAAAABMQEAAAALLTE5MDEwODQ3OTIDAAAAAjMyAgAAAAQ0MTgzBAAAAAEwBwAAAAoxMi8zMS8yMDI1CAAAAAoxMi8zMS8yMDI1CQAAAAEwKM5VNgGx3ggozlU2AbHeCDFDSVEuTkFTREFRR1M6QklMSS5JUV9EQVlTX1BBWUFCTEVfT1VULi4zMS8xMi8yMDI1AQAAACJcZRECAAAACDk3Ljk5ODEyAQgAAAAFAAAA</t>
  </si>
  <si>
    <t>ATEBAAAACy0xODk2NTE4OTQ2AwAAAAIzMgIAAAAENDE4MwQAAAABMAcAAAAKMTIvMzEvMjAyNQgAAAAKMTIvMzEvMjAyNQkAAAABMCjOVTYBsd4IKM5VNgGx3ggyQ0lRLk5BU0RBUUdTOkNNQ1NBLklRX0RBWVNfUEFZQUJMRV9PVVQuLjMxLzEyLzIwMjUBAAAAHaUCAAIAAAAJMTE2Ljg1NDAyAQgAAAAFAAAAATEBAAAACy0xOTA4MDM1NDgwAwAAAAMxNjACAAAABDQxODMEAAAAATAHAAAACjEyLzMxLzIwMjUIAAAACjEyLzMxLzIwMjUJAAAAATAozlU2AbHeCCjOVTYBsd4IMUNJUS5OQVNEQVFHUzpORkxYLklRX0RBWVNfUEFZQUJMRV9PVVQuLjMxLzEyLzIwMjUBAAAADH0AAAIAAAAIMTQuMTE3NDcBCAAAAAUAAAABMQEAAAALLTE5MDkyMTk4ODMDAAAAAzE2MAIAAAAENDE4MwQAAAABMAcAAAAKMTIvMzEvMjAyNQgAAAAKMTIvMzEvMjAyNQkAAAABMCjOVTYBsd4IKM5VNgGx3ggxQ0lRLk5BU0RBUUdTOlJPS1UuSVFfREFZU19QQVlBQkxFX09VVC4uMzEvMTIvMjAyNQEAAABJmoQAAgAAAAkzMC4xNDQyNTUBCAAAAAUAAAABMQEAAAALLTE5MDY3MDMxMTUDAAAAAzE2MAIAAAAENDE4MwQAAAABMAcAAAAKMTIvMzEvMjAyNQgAAAAKMTIvMzEvMjAyNQkAAAABMCjOVTYBsd4IKM5VNgGx3ggsQ0lRLihJTlZBTElEIFRSQU5TQUNUSU9OIElEKS5JUV9DT1VOVFJZX05BTUUFAAAAAAAAAAgAAAAUKEludmFsaWQg</t>
  </si>
  <si>
    <t>SWRlbnRpZmllcilOJgxAAbHeCIfBWUABsd4I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</si>
</sst>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43" formatCode="_-* #,##0.00_-;\-* #,##0.00_-;_-* &quot;-&quot;??_-;_-@_-"/>
    <numFmt numFmtId="164" formatCode="_(* #,##0_);_(* \(#,##0\);_(* &quot;-&quot;_);_(@_)"/>
    <numFmt numFmtId="165" formatCode="_(* #,##0.00_);_(* \(#,##0.00\);_(* &quot;-&quot;??_);_(@_)"/>
    <numFmt numFmtId="166" formatCode="#,##0.0_);\(#,##0.0\);&quot;- &quot;_._0_)"/>
    <numFmt numFmtId="167" formatCode="_(* #,##0_);_(* \(#,##0\);_(* &quot;-&quot;??_);_(@_)"/>
    <numFmt numFmtId="168" formatCode="0.0\x"/>
    <numFmt numFmtId="169" formatCode="&quot;Fail&quot;;&quot;Fail&quot;;&quot;Ok&quot;"/>
    <numFmt numFmtId="170" formatCode="_(* #,##0.000_);_(* \(#,##0.000\);_(* &quot;-&quot;??_);_(@_)"/>
    <numFmt numFmtId="171" formatCode="0.0"/>
    <numFmt numFmtId="172" formatCode="0.0%"/>
    <numFmt numFmtId="173" formatCode="&quot;Case&quot;\ 0"/>
    <numFmt numFmtId="174" formatCode="_(* #,##0.00\x_);_(* \(#,##0.00\x\);_(* &quot;-&quot;??_);_(@_)"/>
    <numFmt numFmtId="175" formatCode="0&quot; days&quot;"/>
    <numFmt numFmtId="176" formatCode="0.0\ &quot;years&quot;"/>
    <numFmt numFmtId="177" formatCode="_-* #,##0_-;\-* #,##0_-;_-* &quot;-&quot;??_-;_-@_-"/>
    <numFmt numFmtId="178" formatCode="dddd"/>
    <numFmt numFmtId="179" formatCode="&quot;Scenario&quot;\ 0"/>
    <numFmt numFmtId="180" formatCode="_(* #,##0.0_);_(* \(#,##0.0\);_(* &quot;-&quot;??_);_(@_)"/>
    <numFmt numFmtId="181" formatCode="dd\-mmm\-yyyy"/>
    <numFmt numFmtId="182" formatCode="#,##0.0;\(#,##0.0\);\-;@"/>
    <numFmt numFmtId="183" formatCode="0.0\x;\(0.0\x\);\-;@"/>
    <numFmt numFmtId="184" formatCode="_-[$€-2]* #,##0.00_-;\-[$€-2]* #,##0.00_-;_-[$€-2]* &quot;-&quot;??_-"/>
    <numFmt numFmtId="185" formatCode="0.0\ &quot;x&quot;"/>
    <numFmt numFmtId="186" formatCode="_(&quot;$&quot;* #,##0.00_);_(&quot;$&quot;* \(#,##0.00\);_(&quot;$&quot;* &quot;-&quot;??_);_(@_)"/>
    <numFmt numFmtId="187" formatCode="_ * #,##0.00_ ;_ * \-#,##0.00_ ;_ * &quot;-&quot;??_ ;_ @_ "/>
    <numFmt numFmtId="188" formatCode="[$-409]d/mmm/yy;@"/>
  </numFmts>
  <fonts count="100">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rgb="FF3F3F76"/>
      <name val="Arial"/>
      <family val="2"/>
    </font>
    <font>
      <b/>
      <sz val="8"/>
      <color rgb="FF3F3F3F"/>
      <name val="Arial"/>
      <family val="2"/>
    </font>
    <font>
      <sz val="8"/>
      <color rgb="FFFA7D00"/>
      <name val="Arial"/>
      <family val="2"/>
    </font>
    <font>
      <sz val="10"/>
      <color theme="3"/>
      <name val="Arial"/>
      <family val="2"/>
    </font>
    <font>
      <sz val="10"/>
      <name val="Arial"/>
      <family val="2"/>
    </font>
    <font>
      <sz val="11"/>
      <color rgb="FFFF0000"/>
      <name val="Arial"/>
      <family val="2"/>
    </font>
    <font>
      <sz val="11"/>
      <color theme="1"/>
      <name val="Arial"/>
      <family val="2"/>
    </font>
    <font>
      <sz val="11"/>
      <color rgb="FF586577"/>
      <name val="Arial"/>
      <family val="2"/>
    </font>
    <font>
      <sz val="8"/>
      <name val="Arial"/>
      <family val="2"/>
    </font>
    <font>
      <i/>
      <sz val="8"/>
      <color rgb="FFC00000"/>
      <name val="Arial"/>
      <family val="2"/>
    </font>
    <font>
      <b/>
      <sz val="15"/>
      <color rgb="FFC00000"/>
      <name val="Arial"/>
      <family val="2"/>
    </font>
    <font>
      <b/>
      <u/>
      <sz val="8"/>
      <color theme="1"/>
      <name val="Arial"/>
      <family val="2"/>
    </font>
    <font>
      <i/>
      <sz val="8"/>
      <color theme="0" tint="-0.34998626667073579"/>
      <name val="Arial"/>
      <family val="2"/>
    </font>
    <font>
      <sz val="8"/>
      <color theme="9" tint="-0.499984740745262"/>
      <name val="Arial"/>
      <family val="2"/>
    </font>
    <font>
      <sz val="8"/>
      <color rgb="FFFF0000"/>
      <name val="Arial"/>
      <family val="2"/>
    </font>
    <font>
      <b/>
      <sz val="8"/>
      <color theme="1"/>
      <name val="Arial"/>
      <family val="2"/>
    </font>
    <font>
      <b/>
      <sz val="8"/>
      <color rgb="FFFFFFFF"/>
      <name val="Arial"/>
      <family val="2"/>
    </font>
    <font>
      <sz val="8"/>
      <color rgb="FF000000"/>
      <name val="Arial"/>
      <family val="2"/>
    </font>
    <font>
      <b/>
      <sz val="8"/>
      <color rgb="FF000000"/>
      <name val="Arial"/>
      <family val="2"/>
    </font>
    <font>
      <i/>
      <sz val="8"/>
      <color rgb="FFFF0000"/>
      <name val="Arial"/>
      <family val="2"/>
    </font>
    <font>
      <b/>
      <sz val="8"/>
      <color rgb="FF6F508D"/>
      <name val="Arial"/>
      <family val="2"/>
    </font>
    <font>
      <i/>
      <sz val="7"/>
      <color rgb="FFAA9C8F"/>
      <name val="Arial"/>
      <family val="2"/>
    </font>
    <font>
      <u/>
      <sz val="8"/>
      <color theme="1"/>
      <name val="Arial"/>
      <family val="2"/>
    </font>
    <font>
      <i/>
      <sz val="8"/>
      <color rgb="FF000000"/>
      <name val="Arial"/>
      <family val="2"/>
    </font>
    <font>
      <i/>
      <sz val="8"/>
      <color theme="1"/>
      <name val="Arial"/>
      <family val="2"/>
    </font>
    <font>
      <sz val="8"/>
      <color theme="1" tint="0.34998626667073579"/>
      <name val="Arial"/>
      <family val="2"/>
    </font>
    <font>
      <i/>
      <sz val="8"/>
      <name val="Arial"/>
      <family val="2"/>
    </font>
    <font>
      <sz val="9"/>
      <color theme="1"/>
      <name val="Arial Narrow"/>
      <family val="2"/>
    </font>
    <font>
      <sz val="9"/>
      <color rgb="FF3F3F76"/>
      <name val="Arial Narrow"/>
      <family val="2"/>
    </font>
    <font>
      <b/>
      <sz val="8"/>
      <name val="Arial"/>
      <family val="2"/>
    </font>
    <font>
      <b/>
      <sz val="13"/>
      <color theme="3"/>
      <name val="Calibri"/>
      <family val="2"/>
      <scheme val="minor"/>
    </font>
    <font>
      <sz val="9"/>
      <color theme="1"/>
      <name val="Arial"/>
      <family val="2"/>
    </font>
    <font>
      <sz val="8"/>
      <color theme="0"/>
      <name val="Arial"/>
      <family val="2"/>
    </font>
    <font>
      <u/>
      <sz val="9"/>
      <color theme="10"/>
      <name val="Arial"/>
      <family val="2"/>
    </font>
    <font>
      <b/>
      <sz val="10"/>
      <color theme="1"/>
      <name val="Arial"/>
      <family val="2"/>
    </font>
    <font>
      <sz val="9"/>
      <name val="Geneva"/>
      <family val="2"/>
    </font>
    <font>
      <b/>
      <sz val="8"/>
      <color theme="0"/>
      <name val="Arial"/>
      <family val="2"/>
    </font>
    <font>
      <b/>
      <sz val="14"/>
      <color rgb="FFED1C24"/>
      <name val="Arial"/>
      <family val="2"/>
    </font>
    <font>
      <sz val="10"/>
      <color theme="0"/>
      <name val="Arial"/>
      <family val="2"/>
    </font>
    <font>
      <sz val="18"/>
      <color rgb="FF58595B"/>
      <name val="Arial"/>
      <family val="2"/>
    </font>
    <font>
      <b/>
      <u/>
      <sz val="8"/>
      <color rgb="FF000000"/>
      <name val="Arial"/>
      <family val="2"/>
    </font>
    <font>
      <b/>
      <sz val="8"/>
      <color rgb="FFC00000"/>
      <name val="Arial"/>
      <family val="2"/>
    </font>
    <font>
      <b/>
      <i/>
      <sz val="8"/>
      <color rgb="FF6F508D"/>
      <name val="Arial"/>
      <family val="2"/>
    </font>
    <font>
      <sz val="9"/>
      <color indexed="81"/>
      <name val="Tahoma"/>
      <family val="2"/>
    </font>
    <font>
      <b/>
      <sz val="9"/>
      <color indexed="81"/>
      <name val="Tahoma"/>
      <family val="2"/>
    </font>
    <font>
      <sz val="8"/>
      <color rgb="FFC00000"/>
      <name val="Arial"/>
      <family val="2"/>
    </font>
    <font>
      <b/>
      <i/>
      <sz val="8"/>
      <color theme="1"/>
      <name val="Arial"/>
      <family val="2"/>
    </font>
    <font>
      <sz val="12"/>
      <color rgb="FF3F3F76"/>
      <name val="Arial"/>
      <family val="2"/>
    </font>
    <font>
      <sz val="22"/>
      <color rgb="FF002060"/>
      <name val="Arial"/>
      <family val="2"/>
    </font>
    <font>
      <sz val="7"/>
      <color rgb="FF6F508D"/>
      <name val="Arial"/>
      <family val="2"/>
    </font>
    <font>
      <sz val="8"/>
      <color theme="0" tint="-0.34998626667073579"/>
      <name val="Arial"/>
      <family val="2"/>
    </font>
    <font>
      <i/>
      <sz val="8"/>
      <color theme="1" tint="0.499984740745262"/>
      <name val="Arial"/>
      <family val="2"/>
    </font>
    <font>
      <sz val="8"/>
      <color theme="1" tint="0.499984740745262"/>
      <name val="Arial"/>
      <family val="2"/>
    </font>
    <font>
      <sz val="8"/>
      <name val="Arial"/>
      <family val="2"/>
    </font>
    <font>
      <b/>
      <sz val="10"/>
      <name val="Geneva"/>
      <family val="2"/>
    </font>
    <font>
      <b/>
      <sz val="8"/>
      <color rgb="FF787878"/>
      <name val="Arial"/>
      <family val="2"/>
    </font>
    <font>
      <sz val="8"/>
      <color rgb="FF787878"/>
      <name val="Arial"/>
      <family val="2"/>
    </font>
    <font>
      <i/>
      <sz val="8"/>
      <color rgb="FF787878"/>
      <name val="Arial"/>
      <family val="2"/>
    </font>
    <font>
      <b/>
      <sz val="8"/>
      <color rgb="FF0071CE"/>
      <name val="Arial"/>
      <family val="2"/>
    </font>
    <font>
      <i/>
      <sz val="7"/>
      <color rgb="FF081F8F"/>
      <name val="Arial"/>
      <family val="2"/>
    </font>
    <font>
      <b/>
      <u/>
      <sz val="8"/>
      <name val="Arial"/>
      <family val="2"/>
    </font>
    <font>
      <b/>
      <i/>
      <u/>
      <sz val="8"/>
      <name val="Arial"/>
      <family val="2"/>
    </font>
    <font>
      <sz val="8"/>
      <color rgb="FF008000"/>
      <name val="Arial"/>
      <family val="2"/>
    </font>
    <font>
      <sz val="8"/>
      <color theme="0" tint="-4.9989318521683403E-2"/>
      <name val="Arial"/>
      <family val="2"/>
    </font>
    <font>
      <sz val="8"/>
      <color theme="0" tint="-0.14999847407452621"/>
      <name val="Arial"/>
      <family val="2"/>
    </font>
    <font>
      <i/>
      <sz val="8"/>
      <color theme="0" tint="-0.14999847407452621"/>
      <name val="Arial"/>
      <family val="2"/>
    </font>
    <font>
      <sz val="12"/>
      <color theme="1"/>
      <name val="Calibri"/>
      <family val="2"/>
      <charset val="136"/>
      <scheme val="minor"/>
    </font>
    <font>
      <b/>
      <sz val="15"/>
      <color theme="3"/>
      <name val="Arial"/>
      <family val="2"/>
    </font>
    <font>
      <b/>
      <sz val="8"/>
      <color theme="3"/>
      <name val="Arial"/>
      <family val="2"/>
    </font>
    <font>
      <i/>
      <sz val="7"/>
      <color theme="3"/>
      <name val="Arial"/>
      <family val="2"/>
    </font>
    <font>
      <sz val="8"/>
      <color theme="3"/>
      <name val="Arial"/>
      <family val="2"/>
    </font>
    <font>
      <b/>
      <sz val="9"/>
      <color theme="1"/>
      <name val="Calibri"/>
      <family val="2"/>
      <scheme val="minor"/>
    </font>
    <font>
      <sz val="9"/>
      <color theme="1"/>
      <name val="Calibri"/>
      <family val="2"/>
      <scheme val="minor"/>
    </font>
    <font>
      <sz val="6"/>
      <color theme="1" tint="0.499984740745262"/>
      <name val="Arial"/>
      <family val="2"/>
    </font>
    <font>
      <i/>
      <sz val="6"/>
      <color theme="1"/>
      <name val="Arial"/>
      <family val="2"/>
    </font>
    <font>
      <sz val="6"/>
      <color theme="1"/>
      <name val="Arial"/>
      <family val="2"/>
    </font>
    <font>
      <b/>
      <sz val="9"/>
      <color rgb="FFFFFFFF"/>
      <name val="Calibri"/>
      <family val="2"/>
      <scheme val="minor"/>
    </font>
    <font>
      <i/>
      <sz val="9"/>
      <color theme="1"/>
      <name val="Calibri"/>
      <family val="2"/>
      <scheme val="minor"/>
    </font>
    <font>
      <b/>
      <sz val="9"/>
      <color theme="0"/>
      <name val="Calibri"/>
      <family val="2"/>
      <scheme val="minor"/>
    </font>
    <font>
      <b/>
      <sz val="9"/>
      <color rgb="FFC00000"/>
      <name val="Calibri"/>
      <family val="2"/>
      <scheme val="minor"/>
    </font>
    <font>
      <i/>
      <sz val="8"/>
      <color theme="3"/>
      <name val="Arial"/>
      <family val="2"/>
    </font>
    <font>
      <i/>
      <sz val="8"/>
      <color rgb="FF081F8F"/>
      <name val="Arial"/>
      <family val="2"/>
    </font>
    <font>
      <i/>
      <sz val="9"/>
      <color rgb="FFC00000"/>
      <name val="Calibri"/>
      <family val="2"/>
      <scheme val="minor"/>
    </font>
    <font>
      <b/>
      <i/>
      <sz val="9"/>
      <color rgb="FFC00000"/>
      <name val="Calibri"/>
      <family val="2"/>
      <scheme val="minor"/>
    </font>
    <font>
      <sz val="12"/>
      <name val="宋体"/>
      <family val="3"/>
      <charset val="134"/>
    </font>
    <font>
      <sz val="9"/>
      <name val="Geneva"/>
      <family val="2"/>
      <charset val="1"/>
    </font>
    <font>
      <u/>
      <sz val="9"/>
      <color indexed="12"/>
      <name val="Geneva"/>
      <family val="2"/>
      <charset val="1"/>
    </font>
    <font>
      <b/>
      <sz val="11"/>
      <color indexed="9"/>
      <name val="Calibri"/>
      <family val="2"/>
    </font>
    <font>
      <b/>
      <u val="singleAccounting"/>
      <sz val="8"/>
      <color indexed="8"/>
      <name val="Arial"/>
      <family val="2"/>
    </font>
    <font>
      <sz val="8"/>
      <color indexed="8"/>
      <name val="Arial"/>
      <family val="2"/>
    </font>
    <font>
      <sz val="11"/>
      <color indexed="8"/>
      <name val="Calibri"/>
      <family val="2"/>
    </font>
    <font>
      <sz val="8"/>
      <color rgb="FF002776"/>
      <name val="Arial"/>
      <family val="2"/>
    </font>
    <font>
      <sz val="8"/>
      <name val="Times New Roman"/>
      <family val="1"/>
    </font>
    <font>
      <sz val="10"/>
      <name val="Times New Roman"/>
      <family val="1"/>
    </font>
    <font>
      <sz val="11"/>
      <name val="Times New Roman"/>
      <family val="1"/>
    </font>
    <font>
      <sz val="10"/>
      <name val="Verdana"/>
      <family val="2"/>
    </font>
  </fonts>
  <fills count="27">
    <fill>
      <patternFill patternType="none"/>
    </fill>
    <fill>
      <patternFill patternType="gray125"/>
    </fill>
    <fill>
      <patternFill patternType="solid">
        <fgColor rgb="FFFFCC99"/>
      </patternFill>
    </fill>
    <fill>
      <patternFill patternType="solid">
        <fgColor rgb="FFF2F2F2"/>
      </patternFill>
    </fill>
    <fill>
      <patternFill patternType="solid">
        <fgColor rgb="FFFFC000"/>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7"/>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rgb="FF6F508D"/>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8" tint="-0.24994659260841701"/>
        <bgColor indexed="64"/>
      </patternFill>
    </fill>
    <fill>
      <patternFill patternType="solid">
        <fgColor rgb="FF990000"/>
        <bgColor indexed="64"/>
      </patternFill>
    </fill>
    <fill>
      <patternFill patternType="solid">
        <fgColor rgb="FF0071CE"/>
        <bgColor indexed="64"/>
      </patternFill>
    </fill>
    <fill>
      <patternFill patternType="solid">
        <fgColor rgb="FF0A1F8F"/>
        <bgColor indexed="64"/>
      </patternFill>
    </fill>
    <fill>
      <patternFill patternType="solid">
        <fgColor theme="6" tint="0.79998168889431442"/>
        <bgColor theme="6" tint="0.79998168889431442"/>
      </patternFill>
    </fill>
    <fill>
      <patternFill patternType="solid">
        <fgColor theme="3"/>
        <bgColor indexed="64"/>
      </patternFill>
    </fill>
    <fill>
      <patternFill patternType="solid">
        <fgColor indexed="9"/>
        <bgColor indexed="64"/>
      </patternFill>
    </fill>
    <fill>
      <patternFill patternType="solid">
        <fgColor indexed="26"/>
        <bgColor indexed="64"/>
      </patternFill>
    </fill>
    <fill>
      <patternFill patternType="solid">
        <fgColor rgb="FF4F81BD"/>
        <bgColor indexed="64"/>
      </patternFill>
    </fill>
    <fill>
      <patternFill patternType="solid">
        <fgColor indexed="60"/>
        <bgColor indexed="64"/>
      </patternFill>
    </fill>
    <fill>
      <patternFill patternType="solid">
        <fgColor rgb="FF002060"/>
        <bgColor indexed="64"/>
      </patternFill>
    </fill>
  </fills>
  <borders count="44">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style="thin">
        <color theme="9" tint="-0.499984740745262"/>
      </left>
      <right style="thin">
        <color theme="9" tint="-0.499984740745262"/>
      </right>
      <top style="thin">
        <color theme="9" tint="-0.499984740745262"/>
      </top>
      <bottom style="thin">
        <color theme="9" tint="-0.499984740745262"/>
      </bottom>
      <diagonal/>
    </border>
    <border>
      <left/>
      <right/>
      <top style="thin">
        <color rgb="FF6F508D"/>
      </top>
      <bottom style="thin">
        <color rgb="FFAA9C8F"/>
      </bottom>
      <diagonal/>
    </border>
    <border>
      <left/>
      <right/>
      <top style="thin">
        <color rgb="FFAA9C8F"/>
      </top>
      <bottom style="medium">
        <color rgb="FFAA9C8F"/>
      </bottom>
      <diagonal/>
    </border>
    <border>
      <left/>
      <right/>
      <top/>
      <bottom style="medium">
        <color rgb="FFAA9C8F"/>
      </bottom>
      <diagonal/>
    </border>
    <border>
      <left/>
      <right/>
      <top/>
      <bottom style="thin">
        <color rgb="FF6F508D"/>
      </bottom>
      <diagonal/>
    </border>
    <border>
      <left/>
      <right/>
      <top/>
      <bottom style="medium">
        <color indexed="64"/>
      </bottom>
      <diagonal/>
    </border>
    <border>
      <left/>
      <right/>
      <top/>
      <bottom style="thick">
        <color theme="4" tint="0.499984740745262"/>
      </bottom>
      <diagonal/>
    </border>
    <border>
      <left/>
      <right/>
      <top/>
      <bottom style="thin">
        <color rgb="FFAA9C8F"/>
      </bottom>
      <diagonal/>
    </border>
    <border>
      <left/>
      <right/>
      <top/>
      <bottom style="thin">
        <color indexed="64"/>
      </bottom>
      <diagonal/>
    </border>
    <border>
      <left/>
      <right/>
      <top/>
      <bottom style="medium">
        <color rgb="FF58595B"/>
      </bottom>
      <diagonal/>
    </border>
    <border>
      <left style="thin">
        <color rgb="FF7F7F7F"/>
      </left>
      <right style="thin">
        <color rgb="FF7F7F7F"/>
      </right>
      <top/>
      <bottom style="thin">
        <color rgb="FF7F7F7F"/>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top/>
      <bottom style="medium">
        <color theme="0" tint="-0.499984740745262"/>
      </bottom>
      <diagonal/>
    </border>
    <border>
      <left/>
      <right/>
      <top/>
      <bottom style="medium">
        <color theme="1" tint="0.499984740745262"/>
      </bottom>
      <diagonal/>
    </border>
    <border>
      <left/>
      <right style="thin">
        <color indexed="64"/>
      </right>
      <top/>
      <bottom style="medium">
        <color theme="1" tint="0.499984740745262"/>
      </bottom>
      <diagonal/>
    </border>
    <border>
      <left/>
      <right/>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6F508D"/>
      </top>
      <bottom style="thin">
        <color rgb="FF081F8F"/>
      </bottom>
      <diagonal/>
    </border>
    <border>
      <left/>
      <right/>
      <top style="thin">
        <color rgb="FF081F8F"/>
      </top>
      <bottom style="medium">
        <color rgb="FF081F8F"/>
      </bottom>
      <diagonal/>
    </border>
    <border>
      <left/>
      <right style="thin">
        <color theme="6" tint="0.39997558519241921"/>
      </right>
      <top/>
      <bottom style="thin">
        <color theme="6" tint="0.39997558519241921"/>
      </bottom>
      <diagonal/>
    </border>
    <border>
      <left/>
      <right/>
      <top/>
      <bottom style="thin">
        <color rgb="FF081F8F"/>
      </bottom>
      <diagonal/>
    </border>
    <border>
      <left/>
      <right/>
      <top/>
      <bottom style="medium">
        <color rgb="FF081F8F"/>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right/>
      <top style="thin">
        <color theme="6"/>
      </top>
      <bottom/>
      <diagonal/>
    </border>
    <border>
      <left/>
      <right/>
      <top/>
      <bottom style="thin">
        <color rgb="FF0000FF"/>
      </bottom>
      <diagonal/>
    </border>
    <border>
      <left/>
      <right/>
      <top style="thin">
        <color rgb="FF0000FF"/>
      </top>
      <bottom/>
      <diagonal/>
    </border>
    <border>
      <left/>
      <right/>
      <top/>
      <bottom style="medium">
        <color rgb="FF0A1F8F"/>
      </bottom>
      <diagonal/>
    </border>
    <border>
      <left style="thin">
        <color rgb="FF7F7F7F"/>
      </left>
      <right style="thin">
        <color rgb="FF7F7F7F"/>
      </right>
      <top style="thin">
        <color rgb="FF081F8F"/>
      </top>
      <bottom style="medium">
        <color rgb="FF0A1F8F"/>
      </bottom>
      <diagonal/>
    </border>
    <border>
      <left/>
      <right/>
      <top style="thin">
        <color rgb="FF0A1F8F"/>
      </top>
      <bottom style="thin">
        <color rgb="FF081F8F"/>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rgb="FF081F8F"/>
      </top>
      <bottom/>
      <diagonal/>
    </border>
  </borders>
  <cellStyleXfs count="68">
    <xf numFmtId="0" fontId="0" fillId="0" borderId="0"/>
    <xf numFmtId="9" fontId="3" fillId="0" borderId="0" applyFont="0" applyFill="0" applyBorder="0" applyAlignment="0" applyProtection="0"/>
    <xf numFmtId="0" fontId="52" fillId="0" borderId="0" applyNumberFormat="0" applyFill="0" applyBorder="0" applyAlignment="0" applyProtection="0"/>
    <xf numFmtId="0" fontId="14" fillId="0" borderId="0" applyNumberFormat="0" applyFill="0" applyAlignment="0" applyProtection="0"/>
    <xf numFmtId="0" fontId="4" fillId="5" borderId="1" applyNumberFormat="0" applyAlignment="0" applyProtection="0"/>
    <xf numFmtId="0" fontId="5" fillId="3" borderId="2" applyNumberFormat="0" applyAlignment="0" applyProtection="0"/>
    <xf numFmtId="0" fontId="6" fillId="6" borderId="0" applyNumberFormat="0" applyAlignment="0" applyProtection="0"/>
    <xf numFmtId="0" fontId="30" fillId="0" borderId="0" applyNumberFormat="0" applyFill="0" applyBorder="0" applyProtection="0">
      <alignment horizontal="left" indent="2"/>
    </xf>
    <xf numFmtId="0" fontId="16" fillId="0" borderId="0" applyNumberFormat="0"/>
    <xf numFmtId="0" fontId="7" fillId="5" borderId="3" applyNumberFormat="0" applyAlignment="0">
      <alignment horizontal="right"/>
      <protection locked="0"/>
    </xf>
    <xf numFmtId="0" fontId="12" fillId="0" borderId="4" applyNumberFormat="0" applyAlignment="0"/>
    <xf numFmtId="0" fontId="17" fillId="6" borderId="5" applyNumberFormat="0" applyAlignment="0"/>
    <xf numFmtId="0" fontId="12" fillId="7" borderId="0">
      <alignment horizontal="center"/>
    </xf>
    <xf numFmtId="15" fontId="3" fillId="0" borderId="0" applyFont="0" applyFill="0" applyBorder="0" applyAlignment="0" applyProtection="0"/>
    <xf numFmtId="0" fontId="18" fillId="0" borderId="0" applyNumberFormat="0" applyFill="0" applyBorder="0" applyAlignment="0" applyProtection="0"/>
    <xf numFmtId="168" fontId="3" fillId="0" borderId="0"/>
    <xf numFmtId="169" fontId="29" fillId="0" borderId="0">
      <alignment horizontal="center"/>
    </xf>
    <xf numFmtId="0" fontId="31" fillId="0" borderId="0"/>
    <xf numFmtId="0" fontId="32" fillId="2" borderId="1" applyNumberFormat="0" applyAlignment="0" applyProtection="0"/>
    <xf numFmtId="9" fontId="31" fillId="0" borderId="0" applyFont="0" applyFill="0" applyBorder="0" applyAlignment="0" applyProtection="0"/>
    <xf numFmtId="0" fontId="34" fillId="0" borderId="11" applyNumberFormat="0" applyFill="0" applyAlignment="0" applyProtection="0"/>
    <xf numFmtId="0" fontId="35" fillId="0" borderId="0"/>
    <xf numFmtId="0" fontId="37" fillId="0" borderId="0" applyNumberFormat="0" applyFill="0" applyBorder="0" applyAlignment="0" applyProtection="0"/>
    <xf numFmtId="9" fontId="35" fillId="0" borderId="0" applyFont="0" applyFill="0" applyBorder="0" applyAlignment="0" applyProtection="0"/>
    <xf numFmtId="0" fontId="39" fillId="0" borderId="0"/>
    <xf numFmtId="0" fontId="8" fillId="0" borderId="0"/>
    <xf numFmtId="165" fontId="2" fillId="0" borderId="0" applyFont="0" applyFill="0" applyBorder="0" applyAlignment="0" applyProtection="0"/>
    <xf numFmtId="0" fontId="41" fillId="0" borderId="0" applyNumberFormat="0" applyProtection="0"/>
    <xf numFmtId="165" fontId="3" fillId="0" borderId="0" applyFont="0" applyFill="0" applyBorder="0" applyAlignment="0" applyProtection="0"/>
    <xf numFmtId="0" fontId="42" fillId="16" borderId="0" applyNumberFormat="0">
      <alignment horizontal="centerContinuous" vertical="center" wrapText="1"/>
    </xf>
    <xf numFmtId="0" fontId="43" fillId="0" borderId="14" applyNumberFormat="0" applyAlignment="0"/>
    <xf numFmtId="174" fontId="8" fillId="0" borderId="0" applyFont="0" applyFill="0" applyBorder="0" applyAlignment="0" applyProtection="0"/>
    <xf numFmtId="0" fontId="58" fillId="0" borderId="0"/>
    <xf numFmtId="9" fontId="39" fillId="0" borderId="0" applyFont="0" applyFill="0" applyBorder="0" applyAlignment="0" applyProtection="0"/>
    <xf numFmtId="184" fontId="70" fillId="0" borderId="0">
      <alignment vertical="center"/>
    </xf>
    <xf numFmtId="43" fontId="1" fillId="0" borderId="0" applyFont="0" applyFill="0" applyBorder="0" applyAlignment="0" applyProtection="0"/>
    <xf numFmtId="43" fontId="3"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0" fontId="88" fillId="0" borderId="0"/>
    <xf numFmtId="0" fontId="89" fillId="0" borderId="0"/>
    <xf numFmtId="0" fontId="91" fillId="24" borderId="0"/>
    <xf numFmtId="43" fontId="8" fillId="0" borderId="0" applyFont="0" applyFill="0" applyBorder="0" applyAlignment="0" applyProtection="0"/>
    <xf numFmtId="186" fontId="89" fillId="0" borderId="0" applyFont="0" applyFill="0" applyBorder="0" applyAlignment="0" applyProtection="0"/>
    <xf numFmtId="0" fontId="90" fillId="0" borderId="0" applyNumberFormat="0" applyFill="0" applyBorder="0" applyAlignment="0" applyProtection="0">
      <alignment vertical="top"/>
      <protection locked="0"/>
    </xf>
    <xf numFmtId="0" fontId="8" fillId="0" borderId="0"/>
    <xf numFmtId="0" fontId="8" fillId="0" borderId="0"/>
    <xf numFmtId="9" fontId="89" fillId="0" borderId="0" applyFont="0" applyFill="0" applyBorder="0" applyAlignment="0" applyProtection="0"/>
    <xf numFmtId="0" fontId="92" fillId="25" borderId="0" applyAlignment="0"/>
    <xf numFmtId="0" fontId="93" fillId="0" borderId="0" applyAlignment="0"/>
    <xf numFmtId="0" fontId="94" fillId="0" borderId="0" applyFill="0" applyProtection="0"/>
    <xf numFmtId="0" fontId="1" fillId="0" borderId="0"/>
    <xf numFmtId="188" fontId="95" fillId="0" borderId="0" applyFill="0" applyBorder="0"/>
    <xf numFmtId="0" fontId="1" fillId="0" borderId="0"/>
    <xf numFmtId="43" fontId="1" fillId="0" borderId="0" applyFont="0" applyFill="0" applyBorder="0" applyAlignment="0" applyProtection="0"/>
    <xf numFmtId="9" fontId="1" fillId="0" borderId="0" applyFont="0" applyFill="0" applyBorder="0" applyAlignment="0" applyProtection="0"/>
    <xf numFmtId="186" fontId="96" fillId="0" borderId="0" applyFont="0" applyFill="0" applyBorder="0" applyAlignment="0" applyProtection="0"/>
    <xf numFmtId="43" fontId="1" fillId="0" borderId="0" applyFont="0" applyFill="0" applyBorder="0" applyAlignment="0" applyProtection="0"/>
    <xf numFmtId="9" fontId="97" fillId="0" borderId="0" applyFont="0" applyFill="0" applyBorder="0" applyAlignment="0" applyProtection="0"/>
    <xf numFmtId="0" fontId="1" fillId="0" borderId="0"/>
    <xf numFmtId="0" fontId="8" fillId="0" borderId="0"/>
    <xf numFmtId="43" fontId="98" fillId="0" borderId="0" applyFont="0" applyFill="0" applyBorder="0" applyAlignment="0" applyProtection="0"/>
    <xf numFmtId="0" fontId="8" fillId="0" borderId="0"/>
    <xf numFmtId="9" fontId="8" fillId="0" borderId="0" applyFont="0" applyFill="0" applyBorder="0" applyAlignment="0" applyProtection="0"/>
    <xf numFmtId="0" fontId="1" fillId="0" borderId="0"/>
    <xf numFmtId="0" fontId="99" fillId="0" borderId="0"/>
    <xf numFmtId="9" fontId="99" fillId="0" borderId="0" applyFont="0" applyFill="0" applyBorder="0" applyAlignment="0" applyProtection="0"/>
  </cellStyleXfs>
  <cellXfs count="868">
    <xf numFmtId="0" fontId="0" fillId="0" borderId="0" xfId="0"/>
    <xf numFmtId="9" fontId="4" fillId="5" borderId="1" xfId="4" applyNumberFormat="1" applyAlignment="1" applyProtection="1">
      <alignment horizontal="center"/>
      <protection locked="0"/>
    </xf>
    <xf numFmtId="0" fontId="52" fillId="0" borderId="0" xfId="2" applyFill="1" applyBorder="1"/>
    <xf numFmtId="0" fontId="9" fillId="0" borderId="0" xfId="0" applyFont="1"/>
    <xf numFmtId="0" fontId="10" fillId="0" borderId="0" xfId="0" applyFont="1"/>
    <xf numFmtId="15" fontId="11" fillId="0" borderId="0" xfId="0" applyNumberFormat="1" applyFont="1"/>
    <xf numFmtId="0" fontId="11" fillId="0" borderId="0" xfId="0" applyFont="1"/>
    <xf numFmtId="0" fontId="3" fillId="0" borderId="0" xfId="0" applyFont="1"/>
    <xf numFmtId="0" fontId="12" fillId="0" borderId="0" xfId="0" applyFont="1" applyAlignment="1">
      <alignment horizontal="center"/>
    </xf>
    <xf numFmtId="0" fontId="13" fillId="0" borderId="0" xfId="0" applyFont="1"/>
    <xf numFmtId="0" fontId="4" fillId="5" borderId="1" xfId="4" applyAlignment="1">
      <alignment horizontal="center"/>
    </xf>
    <xf numFmtId="0" fontId="12" fillId="7" borderId="0" xfId="12">
      <alignment horizontal="center"/>
    </xf>
    <xf numFmtId="0" fontId="5" fillId="3" borderId="2" xfId="5" applyAlignment="1">
      <alignment horizontal="center"/>
    </xf>
    <xf numFmtId="0" fontId="12" fillId="0" borderId="0" xfId="0" applyFont="1"/>
    <xf numFmtId="15" fontId="30" fillId="0" borderId="0" xfId="7" applyNumberFormat="1" applyFill="1" applyBorder="1">
      <alignment horizontal="left" indent="2"/>
    </xf>
    <xf numFmtId="0" fontId="4" fillId="5" borderId="1" xfId="4" applyAlignment="1">
      <alignment horizontal="right"/>
    </xf>
    <xf numFmtId="0" fontId="14" fillId="0" borderId="0" xfId="3" applyFill="1"/>
    <xf numFmtId="0" fontId="14" fillId="0" borderId="0" xfId="3"/>
    <xf numFmtId="0" fontId="52" fillId="0" borderId="0" xfId="2"/>
    <xf numFmtId="0" fontId="15" fillId="0" borderId="0" xfId="0" applyFont="1"/>
    <xf numFmtId="0" fontId="15" fillId="0" borderId="0" xfId="0" applyFont="1" applyProtection="1">
      <protection hidden="1"/>
    </xf>
    <xf numFmtId="0" fontId="16" fillId="0" borderId="0" xfId="8"/>
    <xf numFmtId="0" fontId="17" fillId="6" borderId="5" xfId="11" applyAlignment="1">
      <alignment horizontal="center"/>
    </xf>
    <xf numFmtId="0" fontId="30" fillId="0" borderId="0" xfId="7" applyProtection="1">
      <alignment horizontal="left" indent="2"/>
      <protection locked="0"/>
    </xf>
    <xf numFmtId="0" fontId="30" fillId="0" borderId="0" xfId="7" applyFill="1" applyProtection="1">
      <alignment horizontal="left" indent="2"/>
      <protection locked="0"/>
    </xf>
    <xf numFmtId="0" fontId="15" fillId="0" borderId="0" xfId="0" applyFont="1" applyAlignment="1">
      <alignment horizontal="center"/>
    </xf>
    <xf numFmtId="0" fontId="30" fillId="0" borderId="0" xfId="7" applyFill="1" applyBorder="1" applyProtection="1">
      <alignment horizontal="left" indent="2"/>
      <protection locked="0"/>
    </xf>
    <xf numFmtId="1" fontId="0" fillId="0" borderId="0" xfId="0" applyNumberFormat="1"/>
    <xf numFmtId="1" fontId="17" fillId="6" borderId="5" xfId="11" applyNumberFormat="1"/>
    <xf numFmtId="0" fontId="20" fillId="10" borderId="0" xfId="0" applyFont="1" applyFill="1" applyAlignment="1">
      <alignment horizontal="left" vertical="center"/>
    </xf>
    <xf numFmtId="0" fontId="30" fillId="0" borderId="0" xfId="7">
      <alignment horizontal="left" indent="2"/>
    </xf>
    <xf numFmtId="0" fontId="23" fillId="0" borderId="0" xfId="7" applyFont="1">
      <alignment horizontal="left" indent="2"/>
    </xf>
    <xf numFmtId="0" fontId="0" fillId="6" borderId="0" xfId="0" applyFill="1"/>
    <xf numFmtId="0" fontId="21" fillId="6" borderId="0" xfId="0" applyFont="1" applyFill="1" applyAlignment="1">
      <alignment horizontal="left" vertical="center" indent="2"/>
    </xf>
    <xf numFmtId="0" fontId="19" fillId="0" borderId="0" xfId="0" applyFont="1"/>
    <xf numFmtId="167" fontId="17" fillId="6" borderId="5" xfId="11" applyNumberFormat="1"/>
    <xf numFmtId="9" fontId="0" fillId="0" borderId="0" xfId="1" applyFont="1"/>
    <xf numFmtId="166" fontId="0" fillId="6" borderId="8" xfId="0" applyNumberFormat="1" applyFill="1" applyBorder="1" applyAlignment="1">
      <alignment horizontal="left" vertical="top" indent="2"/>
    </xf>
    <xf numFmtId="9" fontId="0" fillId="6" borderId="0" xfId="1" applyFont="1" applyFill="1"/>
    <xf numFmtId="0" fontId="18" fillId="0" borderId="0" xfId="14"/>
    <xf numFmtId="0" fontId="20" fillId="10" borderId="9" xfId="0" applyFont="1" applyFill="1" applyBorder="1" applyAlignment="1">
      <alignment horizontal="left" vertical="center"/>
    </xf>
    <xf numFmtId="15" fontId="17" fillId="6" borderId="5" xfId="13" applyFont="1" applyFill="1" applyBorder="1"/>
    <xf numFmtId="0" fontId="17" fillId="6" borderId="5" xfId="11" applyAlignment="1">
      <alignment horizontal="right"/>
    </xf>
    <xf numFmtId="0" fontId="20" fillId="10" borderId="0" xfId="17" applyFont="1" applyFill="1" applyAlignment="1">
      <alignment horizontal="left" vertical="center"/>
    </xf>
    <xf numFmtId="0" fontId="12" fillId="0" borderId="0" xfId="18" applyFont="1" applyFill="1" applyBorder="1" applyAlignment="1">
      <alignment horizontal="center" vertical="center" wrapText="1"/>
    </xf>
    <xf numFmtId="0" fontId="3" fillId="0" borderId="0" xfId="17" applyFont="1" applyAlignment="1">
      <alignment horizontal="left"/>
    </xf>
    <xf numFmtId="0" fontId="3" fillId="0" borderId="0" xfId="17" applyFont="1"/>
    <xf numFmtId="0" fontId="33" fillId="0" borderId="0" xfId="17" applyFont="1" applyAlignment="1">
      <alignment horizontal="left"/>
    </xf>
    <xf numFmtId="0" fontId="22" fillId="6" borderId="0" xfId="0" applyFont="1" applyFill="1" applyAlignment="1">
      <alignment horizontal="right" vertical="center"/>
    </xf>
    <xf numFmtId="0" fontId="12" fillId="0" borderId="0" xfId="18" applyFont="1" applyFill="1" applyBorder="1" applyAlignment="1">
      <alignment vertical="center" wrapText="1"/>
    </xf>
    <xf numFmtId="0" fontId="12" fillId="0" borderId="0" xfId="18" applyFont="1" applyFill="1" applyBorder="1" applyAlignment="1">
      <alignment horizontal="justify" vertical="top" wrapText="1"/>
    </xf>
    <xf numFmtId="38" fontId="12" fillId="0" borderId="0" xfId="0" applyNumberFormat="1" applyFont="1" applyAlignment="1">
      <alignment vertical="center" wrapText="1"/>
    </xf>
    <xf numFmtId="2" fontId="12" fillId="0" borderId="0" xfId="17" applyNumberFormat="1" applyFont="1" applyAlignment="1">
      <alignment horizontal="center" vertical="center" wrapText="1"/>
    </xf>
    <xf numFmtId="2" fontId="12" fillId="0" borderId="0" xfId="0" applyNumberFormat="1" applyFont="1" applyAlignment="1">
      <alignment vertical="center" wrapText="1"/>
    </xf>
    <xf numFmtId="9" fontId="12" fillId="0" borderId="0" xfId="19" applyFont="1" applyBorder="1" applyAlignment="1">
      <alignment horizontal="center" vertical="center" wrapText="1"/>
    </xf>
    <xf numFmtId="38" fontId="12" fillId="0" borderId="0" xfId="0" applyNumberFormat="1" applyFont="1" applyAlignment="1">
      <alignment vertical="center"/>
    </xf>
    <xf numFmtId="2" fontId="12" fillId="0" borderId="0" xfId="0" applyNumberFormat="1" applyFont="1" applyAlignment="1">
      <alignment horizontal="center" vertical="center"/>
    </xf>
    <xf numFmtId="0" fontId="0" fillId="6" borderId="0" xfId="0" applyFill="1" applyAlignment="1">
      <alignment horizontal="left" indent="1"/>
    </xf>
    <xf numFmtId="0" fontId="22" fillId="4" borderId="0" xfId="0" applyFont="1" applyFill="1" applyAlignment="1">
      <alignment horizontal="right" vertical="center" wrapText="1"/>
    </xf>
    <xf numFmtId="0" fontId="30" fillId="0" borderId="0" xfId="7" applyFill="1">
      <alignment horizontal="left" indent="2"/>
    </xf>
    <xf numFmtId="0" fontId="0" fillId="0" borderId="0" xfId="0" applyAlignment="1">
      <alignment horizontal="center"/>
    </xf>
    <xf numFmtId="0" fontId="30" fillId="0" borderId="0" xfId="7" applyFill="1" applyBorder="1">
      <alignment horizontal="left" indent="2"/>
    </xf>
    <xf numFmtId="0" fontId="3" fillId="0" borderId="0" xfId="21" applyFont="1"/>
    <xf numFmtId="0" fontId="35" fillId="0" borderId="0" xfId="21"/>
    <xf numFmtId="0" fontId="3" fillId="0" borderId="0" xfId="21" applyFont="1" applyAlignment="1">
      <alignment horizontal="center"/>
    </xf>
    <xf numFmtId="0" fontId="20" fillId="10" borderId="0" xfId="0" applyFont="1" applyFill="1" applyAlignment="1">
      <alignment horizontal="left" vertical="top"/>
    </xf>
    <xf numFmtId="0" fontId="0" fillId="0" borderId="0" xfId="0" applyAlignment="1">
      <alignment horizontal="left" vertical="top"/>
    </xf>
    <xf numFmtId="10" fontId="3" fillId="0" borderId="0" xfId="21" applyNumberFormat="1" applyFont="1" applyAlignment="1">
      <alignment horizontal="center"/>
    </xf>
    <xf numFmtId="0" fontId="20" fillId="10" borderId="9" xfId="0" applyFont="1" applyFill="1" applyBorder="1" applyAlignment="1">
      <alignment horizontal="left" vertical="top"/>
    </xf>
    <xf numFmtId="17" fontId="38" fillId="0" borderId="0" xfId="0" applyNumberFormat="1" applyFont="1" applyAlignment="1">
      <alignment horizontal="left" vertical="top"/>
    </xf>
    <xf numFmtId="0" fontId="0" fillId="0" borderId="0" xfId="0" applyAlignment="1">
      <alignment horizontal="center" vertical="center"/>
    </xf>
    <xf numFmtId="0" fontId="0" fillId="0" borderId="0" xfId="0" applyAlignment="1">
      <alignment horizontal="left"/>
    </xf>
    <xf numFmtId="0" fontId="36" fillId="12" borderId="0" xfId="21" applyFont="1" applyFill="1" applyAlignment="1">
      <alignment horizontal="left" vertical="center" wrapText="1"/>
    </xf>
    <xf numFmtId="0" fontId="40" fillId="12" borderId="0" xfId="21" applyFont="1" applyFill="1" applyAlignment="1">
      <alignment vertical="center" wrapText="1"/>
    </xf>
    <xf numFmtId="0" fontId="3" fillId="0" borderId="0" xfId="21" applyFont="1" applyAlignment="1">
      <alignment vertical="center"/>
    </xf>
    <xf numFmtId="0" fontId="3" fillId="0" borderId="0" xfId="21" applyFont="1" applyAlignment="1">
      <alignment horizontal="left"/>
    </xf>
    <xf numFmtId="170" fontId="3" fillId="0" borderId="0" xfId="26" applyNumberFormat="1" applyFont="1"/>
    <xf numFmtId="10" fontId="3" fillId="0" borderId="0" xfId="26" applyNumberFormat="1" applyFont="1" applyAlignment="1">
      <alignment horizontal="center"/>
    </xf>
    <xf numFmtId="165" fontId="3" fillId="0" borderId="0" xfId="21" applyNumberFormat="1" applyFont="1"/>
    <xf numFmtId="0" fontId="28" fillId="0" borderId="0" xfId="21" applyFont="1" applyAlignment="1">
      <alignment vertical="center"/>
    </xf>
    <xf numFmtId="0" fontId="20" fillId="10" borderId="9" xfId="0" applyFont="1" applyFill="1" applyBorder="1" applyAlignment="1">
      <alignment horizontal="left" vertical="center" wrapText="1"/>
    </xf>
    <xf numFmtId="0" fontId="20" fillId="10" borderId="9" xfId="21" applyFont="1" applyFill="1" applyBorder="1" applyAlignment="1">
      <alignment horizontal="left" vertical="center" wrapText="1"/>
    </xf>
    <xf numFmtId="0" fontId="20" fillId="10" borderId="0" xfId="21" applyFont="1" applyFill="1" applyAlignment="1">
      <alignment horizontal="left" vertical="center"/>
    </xf>
    <xf numFmtId="0" fontId="0" fillId="11" borderId="0" xfId="0" applyFill="1"/>
    <xf numFmtId="172" fontId="35" fillId="0" borderId="0" xfId="21" applyNumberFormat="1"/>
    <xf numFmtId="15" fontId="17" fillId="6" borderId="5" xfId="11" applyNumberFormat="1" applyAlignment="1">
      <alignment horizontal="center"/>
    </xf>
    <xf numFmtId="0" fontId="36" fillId="16" borderId="0" xfId="29" applyFont="1" applyProtection="1">
      <alignment horizontal="centerContinuous" vertical="center" wrapText="1"/>
      <protection hidden="1"/>
    </xf>
    <xf numFmtId="173" fontId="36" fillId="16" borderId="0" xfId="29" applyNumberFormat="1" applyFont="1" applyProtection="1">
      <alignment horizontal="centerContinuous" vertical="center" wrapText="1"/>
      <protection hidden="1"/>
    </xf>
    <xf numFmtId="0" fontId="19" fillId="0" borderId="0" xfId="0" applyFont="1" applyProtection="1">
      <protection hidden="1"/>
    </xf>
    <xf numFmtId="0" fontId="28" fillId="0" borderId="0" xfId="0" applyFont="1"/>
    <xf numFmtId="167" fontId="0" fillId="0" borderId="0" xfId="28" applyNumberFormat="1" applyFont="1"/>
    <xf numFmtId="0" fontId="22" fillId="0" borderId="0" xfId="0" applyFont="1" applyAlignment="1">
      <alignment horizontal="right" vertical="center"/>
    </xf>
    <xf numFmtId="0" fontId="20" fillId="10" borderId="0" xfId="0" applyFont="1" applyFill="1" applyAlignment="1">
      <alignment horizontal="right" vertical="center"/>
    </xf>
    <xf numFmtId="9" fontId="12" fillId="0" borderId="4" xfId="10" applyNumberFormat="1" applyAlignment="1">
      <alignment horizontal="right"/>
    </xf>
    <xf numFmtId="167" fontId="0" fillId="6" borderId="0" xfId="28" applyNumberFormat="1" applyFont="1" applyFill="1"/>
    <xf numFmtId="167" fontId="0" fillId="0" borderId="0" xfId="0" applyNumberFormat="1"/>
    <xf numFmtId="0" fontId="20" fillId="10" borderId="0" xfId="3" applyFont="1" applyFill="1" applyAlignment="1">
      <alignment horizontal="left" vertical="center"/>
    </xf>
    <xf numFmtId="0" fontId="14" fillId="0" borderId="0" xfId="3" applyAlignment="1">
      <alignment horizontal="center"/>
    </xf>
    <xf numFmtId="0" fontId="20" fillId="10" borderId="0" xfId="17" applyFont="1" applyFill="1" applyAlignment="1">
      <alignment horizontal="left" vertical="center" wrapText="1"/>
    </xf>
    <xf numFmtId="0" fontId="20" fillId="10" borderId="9" xfId="20" applyFont="1" applyFill="1" applyBorder="1" applyAlignment="1">
      <alignment horizontal="left" vertical="center"/>
    </xf>
    <xf numFmtId="167" fontId="0" fillId="6" borderId="0" xfId="0" applyNumberFormat="1" applyFill="1"/>
    <xf numFmtId="176" fontId="4" fillId="5" borderId="1" xfId="4" applyNumberFormat="1" applyAlignment="1">
      <alignment horizontal="center"/>
    </xf>
    <xf numFmtId="0" fontId="0" fillId="0" borderId="0" xfId="0" applyAlignment="1">
      <alignment horizontal="left" indent="1"/>
    </xf>
    <xf numFmtId="167" fontId="0" fillId="0" borderId="0" xfId="28" applyNumberFormat="1" applyFont="1" applyFill="1"/>
    <xf numFmtId="9" fontId="0" fillId="0" borderId="0" xfId="1" applyFont="1" applyFill="1"/>
    <xf numFmtId="0" fontId="0" fillId="0" borderId="0" xfId="0" applyAlignment="1">
      <alignment horizontal="right"/>
    </xf>
    <xf numFmtId="0" fontId="22" fillId="0" borderId="12" xfId="0" applyFont="1" applyBorder="1" applyAlignment="1">
      <alignment horizontal="right" vertical="center"/>
    </xf>
    <xf numFmtId="0" fontId="24" fillId="0" borderId="7" xfId="0" applyFont="1" applyBorder="1" applyAlignment="1">
      <alignment horizontal="right" vertical="center"/>
    </xf>
    <xf numFmtId="0" fontId="22" fillId="0" borderId="6" xfId="0" applyFont="1" applyBorder="1" applyAlignment="1">
      <alignment horizontal="left" vertical="center"/>
    </xf>
    <xf numFmtId="0" fontId="22" fillId="0" borderId="6" xfId="0" applyFont="1" applyBorder="1" applyAlignment="1">
      <alignment horizontal="right" vertical="center"/>
    </xf>
    <xf numFmtId="9" fontId="0" fillId="0" borderId="0" xfId="1" applyFont="1" applyFill="1" applyBorder="1"/>
    <xf numFmtId="166" fontId="27" fillId="0" borderId="0" xfId="0" applyNumberFormat="1" applyFont="1" applyAlignment="1">
      <alignment horizontal="left" vertical="center" indent="3"/>
    </xf>
    <xf numFmtId="0" fontId="24" fillId="0" borderId="0" xfId="17" applyFont="1" applyAlignment="1">
      <alignment horizontal="left" vertical="center" indent="1"/>
    </xf>
    <xf numFmtId="0" fontId="24" fillId="0" borderId="7" xfId="17" applyFont="1" applyBorder="1" applyAlignment="1">
      <alignment horizontal="left" vertical="center"/>
    </xf>
    <xf numFmtId="10" fontId="24" fillId="0" borderId="7" xfId="17" applyNumberFormat="1" applyFont="1" applyBorder="1" applyAlignment="1">
      <alignment horizontal="right" vertical="center"/>
    </xf>
    <xf numFmtId="0" fontId="22" fillId="4" borderId="12" xfId="0" applyFont="1" applyFill="1" applyBorder="1" applyAlignment="1">
      <alignment horizontal="right" vertical="center"/>
    </xf>
    <xf numFmtId="0" fontId="16" fillId="0" borderId="0" xfId="8" applyAlignment="1">
      <alignment horizontal="center"/>
    </xf>
    <xf numFmtId="0" fontId="22" fillId="0" borderId="0" xfId="0" applyFont="1" applyAlignment="1">
      <alignment horizontal="right" vertical="center" wrapText="1"/>
    </xf>
    <xf numFmtId="167" fontId="24" fillId="0" borderId="7" xfId="28" applyNumberFormat="1" applyFont="1" applyFill="1" applyBorder="1" applyAlignment="1">
      <alignment horizontal="right" vertical="center"/>
    </xf>
    <xf numFmtId="166" fontId="25" fillId="0" borderId="0" xfId="0" applyNumberFormat="1" applyFont="1" applyAlignment="1">
      <alignment horizontal="left"/>
    </xf>
    <xf numFmtId="0" fontId="26" fillId="0" borderId="0" xfId="0" applyFont="1"/>
    <xf numFmtId="0" fontId="3" fillId="0" borderId="0" xfId="0" applyFont="1" applyAlignment="1">
      <alignment horizontal="left" indent="1"/>
    </xf>
    <xf numFmtId="9" fontId="0" fillId="0" borderId="0" xfId="1" applyFont="1" applyFill="1" applyAlignment="1">
      <alignment horizontal="right"/>
    </xf>
    <xf numFmtId="9" fontId="12" fillId="0" borderId="8" xfId="0" applyNumberFormat="1" applyFont="1" applyBorder="1" applyAlignment="1">
      <alignment horizontal="right" vertical="top"/>
    </xf>
    <xf numFmtId="166" fontId="21" fillId="0" borderId="0" xfId="0" applyNumberFormat="1" applyFont="1" applyAlignment="1">
      <alignment horizontal="left" vertical="center" indent="2"/>
    </xf>
    <xf numFmtId="166" fontId="24" fillId="0" borderId="7" xfId="0" applyNumberFormat="1" applyFont="1" applyBorder="1" applyAlignment="1">
      <alignment horizontal="left" vertical="center"/>
    </xf>
    <xf numFmtId="166" fontId="44" fillId="0" borderId="0" xfId="0" applyNumberFormat="1" applyFont="1" applyAlignment="1">
      <alignment horizontal="left" vertical="center" indent="1"/>
    </xf>
    <xf numFmtId="0" fontId="22" fillId="14" borderId="12" xfId="0" applyFont="1" applyFill="1" applyBorder="1" applyAlignment="1">
      <alignment horizontal="right" vertical="center"/>
    </xf>
    <xf numFmtId="0" fontId="22" fillId="11" borderId="6" xfId="0" applyFont="1" applyFill="1" applyBorder="1" applyAlignment="1">
      <alignment horizontal="right" vertical="center"/>
    </xf>
    <xf numFmtId="0" fontId="0" fillId="11" borderId="0" xfId="0" applyFill="1" applyAlignment="1">
      <alignment horizontal="right"/>
    </xf>
    <xf numFmtId="0" fontId="24" fillId="11" borderId="7" xfId="0" applyFont="1" applyFill="1" applyBorder="1" applyAlignment="1">
      <alignment horizontal="right" vertical="center"/>
    </xf>
    <xf numFmtId="0" fontId="15" fillId="11" borderId="0" xfId="0" applyFont="1" applyFill="1" applyAlignment="1">
      <alignment horizontal="right"/>
    </xf>
    <xf numFmtId="167" fontId="0" fillId="11" borderId="0" xfId="28" applyNumberFormat="1" applyFont="1" applyFill="1" applyAlignment="1">
      <alignment horizontal="right"/>
    </xf>
    <xf numFmtId="167" fontId="0" fillId="11" borderId="0" xfId="28" applyNumberFormat="1" applyFont="1" applyFill="1"/>
    <xf numFmtId="0" fontId="12" fillId="0" borderId="17" xfId="18" applyFont="1" applyFill="1" applyBorder="1" applyAlignment="1">
      <alignment horizontal="justify" vertical="top" wrapText="1"/>
    </xf>
    <xf numFmtId="38" fontId="0" fillId="0" borderId="17" xfId="0" applyNumberFormat="1" applyBorder="1" applyAlignment="1">
      <alignment vertical="center" wrapText="1"/>
    </xf>
    <xf numFmtId="9" fontId="0" fillId="0" borderId="17" xfId="1" applyFont="1" applyFill="1" applyBorder="1" applyAlignment="1">
      <alignment vertical="center" wrapText="1"/>
    </xf>
    <xf numFmtId="2" fontId="12" fillId="0" borderId="17" xfId="17" applyNumberFormat="1" applyFont="1" applyBorder="1" applyAlignment="1">
      <alignment horizontal="center" vertical="center" wrapText="1"/>
    </xf>
    <xf numFmtId="172" fontId="24" fillId="0" borderId="0" xfId="1" applyNumberFormat="1" applyFont="1" applyFill="1" applyAlignment="1">
      <alignment horizontal="right" vertical="center"/>
    </xf>
    <xf numFmtId="172" fontId="3" fillId="0" borderId="0" xfId="21" applyNumberFormat="1" applyFont="1"/>
    <xf numFmtId="172" fontId="24" fillId="0" borderId="0" xfId="17" applyNumberFormat="1" applyFont="1" applyAlignment="1">
      <alignment horizontal="right" vertical="center"/>
    </xf>
    <xf numFmtId="0" fontId="33" fillId="0" borderId="16" xfId="18" applyFont="1" applyFill="1" applyBorder="1" applyAlignment="1">
      <alignment vertical="center" wrapText="1"/>
    </xf>
    <xf numFmtId="167" fontId="0" fillId="0" borderId="19" xfId="28" applyNumberFormat="1" applyFont="1" applyBorder="1"/>
    <xf numFmtId="9" fontId="4" fillId="5" borderId="1" xfId="4" applyNumberFormat="1" applyAlignment="1">
      <alignment horizontal="center"/>
    </xf>
    <xf numFmtId="0" fontId="4" fillId="5" borderId="1" xfId="4" applyNumberFormat="1" applyAlignment="1">
      <alignment horizontal="center"/>
    </xf>
    <xf numFmtId="15" fontId="4" fillId="5" borderId="1" xfId="4" applyNumberFormat="1" applyAlignment="1">
      <alignment horizontal="center"/>
    </xf>
    <xf numFmtId="0" fontId="22" fillId="0" borderId="12" xfId="0" applyFont="1" applyBorder="1" applyAlignment="1">
      <alignment horizontal="left" vertical="center"/>
    </xf>
    <xf numFmtId="0" fontId="0" fillId="0" borderId="20" xfId="0" applyBorder="1" applyAlignment="1">
      <alignment horizontal="left" indent="1"/>
    </xf>
    <xf numFmtId="0" fontId="15" fillId="0" borderId="0" xfId="0" applyFont="1" applyAlignment="1">
      <alignment horizontal="left"/>
    </xf>
    <xf numFmtId="0" fontId="49" fillId="0" borderId="0" xfId="0" applyFont="1"/>
    <xf numFmtId="0" fontId="51" fillId="5" borderId="1" xfId="4" applyFont="1" applyAlignment="1">
      <alignment horizontal="right"/>
    </xf>
    <xf numFmtId="0" fontId="23" fillId="0" borderId="0" xfId="14" applyFont="1"/>
    <xf numFmtId="0" fontId="13" fillId="0" borderId="0" xfId="7" applyFont="1">
      <alignment horizontal="left" indent="2"/>
    </xf>
    <xf numFmtId="0" fontId="3" fillId="0" borderId="0" xfId="17" applyFont="1" applyAlignment="1">
      <alignment horizontal="right" indent="2"/>
    </xf>
    <xf numFmtId="0" fontId="19" fillId="0" borderId="0" xfId="0" applyFont="1" applyAlignment="1">
      <alignment horizontal="right" indent="2"/>
    </xf>
    <xf numFmtId="167" fontId="19" fillId="0" borderId="0" xfId="28" applyNumberFormat="1" applyFont="1"/>
    <xf numFmtId="9" fontId="19" fillId="0" borderId="0" xfId="1" applyFont="1"/>
    <xf numFmtId="1" fontId="30" fillId="0" borderId="0" xfId="7" applyNumberFormat="1">
      <alignment horizontal="left" indent="2"/>
    </xf>
    <xf numFmtId="1" fontId="30" fillId="0" borderId="0" xfId="7" applyNumberFormat="1" applyFill="1">
      <alignment horizontal="left" indent="2"/>
    </xf>
    <xf numFmtId="1" fontId="30" fillId="0" borderId="0" xfId="7" applyNumberFormat="1" applyFill="1" applyAlignment="1">
      <alignment horizontal="left" vertical="center" indent="2"/>
    </xf>
    <xf numFmtId="0" fontId="12" fillId="6" borderId="0" xfId="21" applyFont="1" applyFill="1" applyAlignment="1">
      <alignment horizontal="left" indent="1"/>
    </xf>
    <xf numFmtId="0" fontId="0" fillId="0" borderId="19" xfId="0" applyBorder="1"/>
    <xf numFmtId="0" fontId="20" fillId="10" borderId="9" xfId="21" applyFont="1" applyFill="1" applyBorder="1" applyAlignment="1">
      <alignment horizontal="left" vertical="center"/>
    </xf>
    <xf numFmtId="168" fontId="12" fillId="0" borderId="0" xfId="15" applyFont="1"/>
    <xf numFmtId="0" fontId="22" fillId="4" borderId="12" xfId="0" applyFont="1" applyFill="1" applyBorder="1" applyAlignment="1">
      <alignment horizontal="center" vertical="center"/>
    </xf>
    <xf numFmtId="0" fontId="18" fillId="0" borderId="0" xfId="0" applyFont="1"/>
    <xf numFmtId="2" fontId="0" fillId="0" borderId="0" xfId="0" applyNumberFormat="1"/>
    <xf numFmtId="2" fontId="19" fillId="0" borderId="0" xfId="0" applyNumberFormat="1" applyFont="1"/>
    <xf numFmtId="178" fontId="28" fillId="0" borderId="0" xfId="0" applyNumberFormat="1" applyFont="1"/>
    <xf numFmtId="0" fontId="27" fillId="0" borderId="12" xfId="0" applyFont="1" applyBorder="1" applyAlignment="1">
      <alignment horizontal="left" vertical="center"/>
    </xf>
    <xf numFmtId="15" fontId="0" fillId="9" borderId="0" xfId="13" applyFont="1" applyFill="1" applyProtection="1">
      <protection locked="0" hidden="1"/>
    </xf>
    <xf numFmtId="15" fontId="0" fillId="8" borderId="0" xfId="13" applyFont="1" applyFill="1" applyProtection="1">
      <protection locked="0" hidden="1"/>
    </xf>
    <xf numFmtId="15" fontId="0" fillId="9" borderId="0" xfId="0" applyNumberFormat="1" applyFill="1" applyProtection="1">
      <protection locked="0" hidden="1"/>
    </xf>
    <xf numFmtId="15" fontId="17" fillId="9" borderId="5" xfId="11" applyNumberFormat="1" applyFill="1" applyProtection="1">
      <protection locked="0" hidden="1"/>
    </xf>
    <xf numFmtId="15" fontId="17" fillId="8" borderId="5" xfId="11" applyNumberFormat="1" applyFill="1" applyProtection="1">
      <protection locked="0" hidden="1"/>
    </xf>
    <xf numFmtId="0" fontId="0" fillId="9" borderId="0" xfId="0" applyFill="1" applyProtection="1">
      <protection locked="0" hidden="1"/>
    </xf>
    <xf numFmtId="0" fontId="0" fillId="8" borderId="0" xfId="0" applyFill="1" applyProtection="1">
      <protection locked="0" hidden="1"/>
    </xf>
    <xf numFmtId="0" fontId="0" fillId="9" borderId="0" xfId="0" applyFill="1" applyAlignment="1" applyProtection="1">
      <alignment horizontal="right"/>
      <protection locked="0" hidden="1"/>
    </xf>
    <xf numFmtId="0" fontId="0" fillId="8" borderId="0" xfId="0" applyFill="1" applyAlignment="1" applyProtection="1">
      <alignment horizontal="right"/>
      <protection locked="0" hidden="1"/>
    </xf>
    <xf numFmtId="0" fontId="20" fillId="10" borderId="0" xfId="0" applyFont="1" applyFill="1" applyAlignment="1" applyProtection="1">
      <alignment horizontal="left" vertical="center"/>
      <protection hidden="1"/>
    </xf>
    <xf numFmtId="0" fontId="22" fillId="0" borderId="6" xfId="0" applyFont="1" applyBorder="1" applyAlignment="1" applyProtection="1">
      <alignment horizontal="left" vertical="center"/>
      <protection hidden="1"/>
    </xf>
    <xf numFmtId="0" fontId="22" fillId="0" borderId="6" xfId="0" applyFont="1" applyBorder="1" applyAlignment="1" applyProtection="1">
      <alignment horizontal="right" vertical="center"/>
      <protection hidden="1"/>
    </xf>
    <xf numFmtId="166" fontId="24" fillId="0" borderId="7" xfId="0" applyNumberFormat="1" applyFont="1" applyBorder="1" applyAlignment="1" applyProtection="1">
      <alignment horizontal="left" vertical="center"/>
      <protection hidden="1"/>
    </xf>
    <xf numFmtId="166" fontId="24" fillId="0" borderId="7" xfId="0" applyNumberFormat="1" applyFont="1" applyBorder="1" applyAlignment="1" applyProtection="1">
      <alignment horizontal="right" vertical="center"/>
      <protection hidden="1"/>
    </xf>
    <xf numFmtId="0" fontId="25" fillId="0" borderId="0" xfId="0" applyFont="1" applyAlignment="1" applyProtection="1">
      <alignment horizontal="left"/>
      <protection hidden="1"/>
    </xf>
    <xf numFmtId="0" fontId="0" fillId="0" borderId="0" xfId="0" applyProtection="1">
      <protection hidden="1"/>
    </xf>
    <xf numFmtId="0" fontId="21" fillId="0" borderId="0" xfId="0" applyFont="1" applyAlignment="1" applyProtection="1">
      <alignment horizontal="left" vertical="center" indent="2"/>
      <protection hidden="1"/>
    </xf>
    <xf numFmtId="0" fontId="21" fillId="0" borderId="0" xfId="0" applyFont="1" applyAlignment="1" applyProtection="1">
      <alignment horizontal="right" vertical="center"/>
      <protection hidden="1"/>
    </xf>
    <xf numFmtId="166" fontId="0" fillId="0" borderId="8" xfId="0" applyNumberFormat="1" applyBorder="1" applyAlignment="1" applyProtection="1">
      <alignment horizontal="left" vertical="center" indent="2"/>
      <protection hidden="1"/>
    </xf>
    <xf numFmtId="0" fontId="0" fillId="0" borderId="8" xfId="0" applyBorder="1" applyAlignment="1" applyProtection="1">
      <alignment horizontal="right" vertical="center"/>
      <protection hidden="1"/>
    </xf>
    <xf numFmtId="0" fontId="4" fillId="5" borderId="1" xfId="4" applyAlignment="1" applyProtection="1">
      <alignment horizontal="right"/>
      <protection locked="0"/>
    </xf>
    <xf numFmtId="0" fontId="0" fillId="0" borderId="0" xfId="0" applyProtection="1">
      <protection locked="0"/>
    </xf>
    <xf numFmtId="0" fontId="0" fillId="0" borderId="0" xfId="0" applyAlignment="1" applyProtection="1">
      <alignment horizontal="center"/>
      <protection locked="0"/>
    </xf>
    <xf numFmtId="0" fontId="20" fillId="10" borderId="9" xfId="0" applyFont="1" applyFill="1" applyBorder="1" applyAlignment="1" applyProtection="1">
      <alignment horizontal="left" vertical="center"/>
      <protection locked="0"/>
    </xf>
    <xf numFmtId="0" fontId="0" fillId="0" borderId="0" xfId="0" applyAlignment="1" applyProtection="1">
      <alignment horizontal="left"/>
      <protection locked="0"/>
    </xf>
    <xf numFmtId="168" fontId="3" fillId="0" borderId="0" xfId="15" applyAlignment="1" applyProtection="1">
      <alignment horizontal="right"/>
      <protection locked="0"/>
    </xf>
    <xf numFmtId="168" fontId="12" fillId="0" borderId="0" xfId="15" applyFont="1" applyAlignment="1">
      <alignment vertical="center"/>
    </xf>
    <xf numFmtId="0" fontId="23" fillId="0" borderId="0" xfId="0" applyFont="1" applyAlignment="1">
      <alignment horizontal="left" indent="1"/>
    </xf>
    <xf numFmtId="9" fontId="22" fillId="0" borderId="12" xfId="1" applyFont="1" applyFill="1" applyBorder="1" applyAlignment="1">
      <alignment horizontal="right" vertical="center"/>
    </xf>
    <xf numFmtId="0" fontId="52" fillId="0" borderId="0" xfId="2" applyProtection="1">
      <protection locked="0"/>
    </xf>
    <xf numFmtId="0" fontId="14" fillId="0" borderId="0" xfId="3" applyProtection="1">
      <protection locked="0"/>
    </xf>
    <xf numFmtId="0" fontId="16" fillId="0" borderId="0" xfId="8" applyAlignment="1" applyProtection="1">
      <alignment horizontal="center"/>
      <protection locked="0"/>
    </xf>
    <xf numFmtId="0" fontId="22" fillId="0" borderId="12" xfId="0" applyFont="1" applyBorder="1" applyAlignment="1" applyProtection="1">
      <alignment horizontal="left" vertical="center"/>
      <protection locked="0"/>
    </xf>
    <xf numFmtId="0" fontId="21" fillId="0" borderId="0" xfId="0" applyFont="1" applyAlignment="1" applyProtection="1">
      <alignment horizontal="left" vertical="center" indent="2"/>
      <protection locked="0"/>
    </xf>
    <xf numFmtId="0" fontId="54" fillId="0" borderId="0" xfId="8" applyFont="1" applyAlignment="1" applyProtection="1">
      <alignment horizontal="center"/>
      <protection locked="0"/>
    </xf>
    <xf numFmtId="0" fontId="24" fillId="0" borderId="0" xfId="0" applyFont="1" applyAlignment="1" applyProtection="1">
      <alignment horizontal="left" vertical="center" indent="1"/>
      <protection locked="0"/>
    </xf>
    <xf numFmtId="167" fontId="24" fillId="0" borderId="0" xfId="0" applyNumberFormat="1" applyFont="1" applyAlignment="1" applyProtection="1">
      <alignment horizontal="right" vertical="center"/>
      <protection locked="0"/>
    </xf>
    <xf numFmtId="167" fontId="0" fillId="0" borderId="0" xfId="0" applyNumberFormat="1" applyProtection="1">
      <protection locked="0"/>
    </xf>
    <xf numFmtId="0" fontId="50" fillId="0" borderId="0" xfId="8" applyFont="1" applyAlignment="1" applyProtection="1">
      <alignment horizontal="center"/>
      <protection locked="0"/>
    </xf>
    <xf numFmtId="0" fontId="24" fillId="0" borderId="7" xfId="0" applyFont="1" applyBorder="1" applyAlignment="1" applyProtection="1">
      <alignment horizontal="left" vertical="center"/>
      <protection locked="0"/>
    </xf>
    <xf numFmtId="167" fontId="24" fillId="0" borderId="7" xfId="0" applyNumberFormat="1" applyFont="1" applyBorder="1" applyAlignment="1" applyProtection="1">
      <alignment horizontal="right" vertical="center"/>
      <protection locked="0"/>
    </xf>
    <xf numFmtId="0" fontId="25" fillId="0" borderId="0" xfId="0" applyFont="1" applyAlignment="1" applyProtection="1">
      <alignment horizontal="left"/>
      <protection locked="0"/>
    </xf>
    <xf numFmtId="165" fontId="0" fillId="0" borderId="0" xfId="28" applyFont="1" applyProtection="1">
      <protection locked="0"/>
    </xf>
    <xf numFmtId="0" fontId="22" fillId="0" borderId="12" xfId="0" applyFont="1" applyBorder="1" applyAlignment="1" applyProtection="1">
      <alignment horizontal="left" vertical="top" wrapText="1"/>
      <protection locked="0"/>
    </xf>
    <xf numFmtId="0" fontId="45" fillId="0" borderId="0" xfId="0" applyFont="1" applyAlignment="1" applyProtection="1">
      <alignment horizontal="left" vertical="center" indent="2"/>
      <protection locked="0"/>
    </xf>
    <xf numFmtId="167" fontId="45" fillId="0" borderId="0" xfId="28" applyNumberFormat="1" applyFont="1" applyBorder="1" applyAlignment="1" applyProtection="1">
      <alignment horizontal="left" vertical="center" indent="2"/>
      <protection locked="0"/>
    </xf>
    <xf numFmtId="9" fontId="45" fillId="0" borderId="0" xfId="1" applyFont="1" applyBorder="1" applyAlignment="1" applyProtection="1">
      <alignment horizontal="left" vertical="center" indent="2"/>
      <protection locked="0"/>
    </xf>
    <xf numFmtId="9" fontId="45" fillId="0" borderId="0" xfId="1" applyFont="1" applyBorder="1" applyAlignment="1" applyProtection="1">
      <alignment horizontal="center" vertical="center"/>
      <protection locked="0"/>
    </xf>
    <xf numFmtId="167" fontId="21" fillId="0" borderId="0" xfId="28" applyNumberFormat="1" applyFont="1" applyAlignment="1" applyProtection="1">
      <alignment horizontal="left" vertical="center" indent="2"/>
      <protection locked="0"/>
    </xf>
    <xf numFmtId="9" fontId="21" fillId="0" borderId="0" xfId="1" applyFont="1" applyAlignment="1" applyProtection="1">
      <alignment horizontal="left" vertical="center" indent="2"/>
      <protection locked="0"/>
    </xf>
    <xf numFmtId="9" fontId="21" fillId="0" borderId="0" xfId="1" applyFont="1" applyAlignment="1" applyProtection="1">
      <alignment horizontal="center" vertical="center"/>
      <protection locked="0"/>
    </xf>
    <xf numFmtId="167" fontId="21" fillId="0" borderId="0" xfId="28" applyNumberFormat="1" applyFont="1" applyBorder="1" applyAlignment="1" applyProtection="1">
      <alignment horizontal="left" vertical="center" indent="2"/>
      <protection locked="0"/>
    </xf>
    <xf numFmtId="9" fontId="21" fillId="0" borderId="0" xfId="1" applyFont="1" applyBorder="1" applyAlignment="1" applyProtection="1">
      <alignment horizontal="left" vertical="center" indent="2"/>
      <protection locked="0"/>
    </xf>
    <xf numFmtId="9" fontId="21" fillId="0" borderId="0" xfId="1" applyFont="1" applyBorder="1" applyAlignment="1" applyProtection="1">
      <alignment horizontal="center" vertical="center"/>
      <protection locked="0"/>
    </xf>
    <xf numFmtId="0" fontId="21" fillId="0" borderId="19" xfId="0" applyFont="1" applyBorder="1" applyAlignment="1" applyProtection="1">
      <alignment horizontal="left" vertical="center" indent="2"/>
      <protection locked="0"/>
    </xf>
    <xf numFmtId="0" fontId="21" fillId="0" borderId="18" xfId="0" applyFont="1" applyBorder="1" applyAlignment="1" applyProtection="1">
      <alignment horizontal="left" vertical="center" indent="2"/>
      <protection locked="0"/>
    </xf>
    <xf numFmtId="167" fontId="21" fillId="0" borderId="18" xfId="28" applyNumberFormat="1" applyFont="1" applyBorder="1" applyAlignment="1" applyProtection="1">
      <alignment horizontal="left" vertical="center" indent="2"/>
      <protection locked="0"/>
    </xf>
    <xf numFmtId="9" fontId="21" fillId="0" borderId="18" xfId="1" applyFont="1" applyBorder="1" applyAlignment="1" applyProtection="1">
      <alignment horizontal="left" vertical="center" indent="2"/>
      <protection locked="0"/>
    </xf>
    <xf numFmtId="9" fontId="21" fillId="0" borderId="18" xfId="1" applyFont="1" applyBorder="1" applyAlignment="1" applyProtection="1">
      <alignment horizontal="center" vertical="center"/>
      <protection locked="0"/>
    </xf>
    <xf numFmtId="0" fontId="22" fillId="0" borderId="12" xfId="0" applyFont="1" applyBorder="1" applyAlignment="1" applyProtection="1">
      <alignment horizontal="right" vertical="center" wrapText="1"/>
      <protection locked="0"/>
    </xf>
    <xf numFmtId="0" fontId="22" fillId="0" borderId="12" xfId="21" applyFont="1" applyBorder="1" applyAlignment="1" applyProtection="1">
      <alignment horizontal="right" vertical="center" wrapText="1"/>
      <protection locked="0"/>
    </xf>
    <xf numFmtId="9" fontId="0" fillId="0" borderId="0" xfId="0" applyNumberFormat="1" applyAlignment="1" applyProtection="1">
      <alignment horizontal="right"/>
      <protection locked="0"/>
    </xf>
    <xf numFmtId="172" fontId="0" fillId="0" borderId="0" xfId="0" applyNumberFormat="1" applyAlignment="1" applyProtection="1">
      <alignment horizontal="right"/>
      <protection locked="0"/>
    </xf>
    <xf numFmtId="10" fontId="0" fillId="0" borderId="0" xfId="0" applyNumberFormat="1" applyAlignment="1" applyProtection="1">
      <alignment horizontal="right"/>
      <protection locked="0"/>
    </xf>
    <xf numFmtId="0" fontId="22" fillId="0" borderId="6" xfId="0" applyFont="1" applyBorder="1" applyAlignment="1" applyProtection="1">
      <alignment horizontal="left" vertical="center"/>
      <protection locked="0"/>
    </xf>
    <xf numFmtId="167" fontId="0" fillId="0" borderId="0" xfId="28" applyNumberFormat="1" applyFont="1" applyProtection="1">
      <protection locked="0"/>
    </xf>
    <xf numFmtId="0" fontId="20" fillId="10" borderId="0" xfId="21" applyFont="1" applyFill="1" applyAlignment="1" applyProtection="1">
      <alignment horizontal="left" vertical="center"/>
      <protection locked="0"/>
    </xf>
    <xf numFmtId="0" fontId="22" fillId="0" borderId="6" xfId="21" applyFont="1" applyBorder="1" applyAlignment="1" applyProtection="1">
      <alignment horizontal="left" vertical="center"/>
      <protection locked="0"/>
    </xf>
    <xf numFmtId="0" fontId="22" fillId="0" borderId="6" xfId="21" applyFont="1" applyBorder="1" applyAlignment="1" applyProtection="1">
      <alignment horizontal="right" vertical="center"/>
      <protection locked="0"/>
    </xf>
    <xf numFmtId="0" fontId="30" fillId="0" borderId="0" xfId="7" applyAlignment="1" applyProtection="1">
      <alignment horizontal="center"/>
      <protection locked="0"/>
    </xf>
    <xf numFmtId="166" fontId="21" fillId="0" borderId="0" xfId="21" applyNumberFormat="1" applyFont="1" applyAlignment="1" applyProtection="1">
      <alignment horizontal="left" vertical="center" indent="2"/>
      <protection locked="0"/>
    </xf>
    <xf numFmtId="0" fontId="0" fillId="0" borderId="0" xfId="0" applyAlignment="1" applyProtection="1">
      <alignment horizontal="left" indent="2"/>
      <protection locked="0"/>
    </xf>
    <xf numFmtId="167" fontId="0" fillId="0" borderId="0" xfId="28" applyNumberFormat="1" applyFont="1" applyFill="1" applyAlignment="1" applyProtection="1">
      <alignment horizontal="center"/>
      <protection locked="0"/>
    </xf>
    <xf numFmtId="0" fontId="27" fillId="0" borderId="0" xfId="0" applyFont="1" applyAlignment="1" applyProtection="1">
      <alignment horizontal="left" vertical="center" indent="2"/>
      <protection locked="0"/>
    </xf>
    <xf numFmtId="9" fontId="28" fillId="0" borderId="0" xfId="0" applyNumberFormat="1" applyFont="1" applyProtection="1">
      <protection locked="0"/>
    </xf>
    <xf numFmtId="177" fontId="24" fillId="0" borderId="7" xfId="0" applyNumberFormat="1" applyFont="1" applyBorder="1" applyAlignment="1" applyProtection="1">
      <alignment horizontal="right" vertical="center"/>
      <protection locked="0"/>
    </xf>
    <xf numFmtId="0" fontId="22" fillId="0" borderId="12" xfId="0" applyFont="1" applyBorder="1" applyAlignment="1" applyProtection="1">
      <alignment horizontal="right" vertical="center" wrapText="1"/>
      <protection hidden="1"/>
    </xf>
    <xf numFmtId="9" fontId="21" fillId="0" borderId="0" xfId="23" applyFont="1" applyFill="1" applyAlignment="1" applyProtection="1">
      <alignment horizontal="right" vertical="center"/>
      <protection hidden="1"/>
    </xf>
    <xf numFmtId="9" fontId="21" fillId="0" borderId="0" xfId="23" applyFont="1" applyFill="1" applyBorder="1" applyAlignment="1" applyProtection="1">
      <alignment horizontal="right" vertical="center"/>
      <protection hidden="1"/>
    </xf>
    <xf numFmtId="172" fontId="24" fillId="0" borderId="7" xfId="17" applyNumberFormat="1" applyFont="1" applyBorder="1" applyAlignment="1">
      <alignment horizontal="right" vertical="center"/>
    </xf>
    <xf numFmtId="0" fontId="56" fillId="0" borderId="0" xfId="0" applyFont="1"/>
    <xf numFmtId="0" fontId="55" fillId="0" borderId="0" xfId="7" applyFont="1">
      <alignment horizontal="left" indent="2"/>
    </xf>
    <xf numFmtId="168" fontId="0" fillId="0" borderId="0" xfId="0" applyNumberFormat="1"/>
    <xf numFmtId="0" fontId="20" fillId="10" borderId="0" xfId="0" applyFont="1" applyFill="1" applyAlignment="1" applyProtection="1">
      <alignment horizontal="left" vertical="center"/>
      <protection locked="0"/>
    </xf>
    <xf numFmtId="0" fontId="22" fillId="0" borderId="6" xfId="0" applyFont="1" applyBorder="1" applyAlignment="1" applyProtection="1">
      <alignment horizontal="right" vertical="center"/>
      <protection locked="0"/>
    </xf>
    <xf numFmtId="173" fontId="20" fillId="10" borderId="9" xfId="29" applyNumberFormat="1" applyFont="1" applyFill="1" applyBorder="1" applyAlignment="1" applyProtection="1">
      <alignment horizontal="left" vertical="center" wrapText="1"/>
      <protection locked="0"/>
    </xf>
    <xf numFmtId="0" fontId="22" fillId="0" borderId="12" xfId="0" applyFont="1" applyBorder="1" applyAlignment="1" applyProtection="1">
      <alignment horizontal="right" vertical="center"/>
      <protection locked="0"/>
    </xf>
    <xf numFmtId="0" fontId="0" fillId="0" borderId="0" xfId="0" applyAlignment="1" applyProtection="1">
      <alignment horizontal="left" indent="1"/>
      <protection locked="0"/>
    </xf>
    <xf numFmtId="0" fontId="24" fillId="0" borderId="0" xfId="0" applyFont="1" applyAlignment="1" applyProtection="1">
      <alignment horizontal="right" vertical="center"/>
      <protection locked="0"/>
    </xf>
    <xf numFmtId="0" fontId="24" fillId="0" borderId="7" xfId="0" applyFont="1" applyBorder="1" applyAlignment="1" applyProtection="1">
      <alignment horizontal="right" vertical="center"/>
      <protection locked="0"/>
    </xf>
    <xf numFmtId="0" fontId="53" fillId="0" borderId="0" xfId="0" applyFont="1" applyAlignment="1" applyProtection="1">
      <alignment horizontal="left" vertical="center"/>
      <protection locked="0"/>
    </xf>
    <xf numFmtId="0" fontId="53" fillId="0" borderId="0" xfId="0" applyFont="1" applyAlignment="1" applyProtection="1">
      <alignment horizontal="right" vertical="center"/>
      <protection locked="0"/>
    </xf>
    <xf numFmtId="9" fontId="53" fillId="0" borderId="0" xfId="1" applyFont="1" applyFill="1" applyBorder="1" applyAlignment="1" applyProtection="1">
      <alignment horizontal="right" vertical="center"/>
      <protection locked="0"/>
    </xf>
    <xf numFmtId="166" fontId="24" fillId="0" borderId="0" xfId="0" applyNumberFormat="1" applyFont="1" applyAlignment="1" applyProtection="1">
      <alignment horizontal="left" vertical="center" indent="1"/>
      <protection locked="0"/>
    </xf>
    <xf numFmtId="15" fontId="0" fillId="0" borderId="19" xfId="0" applyNumberFormat="1" applyBorder="1" applyAlignment="1">
      <alignment horizontal="left" indent="1"/>
    </xf>
    <xf numFmtId="0" fontId="0" fillId="0" borderId="19" xfId="0" applyBorder="1" applyAlignment="1">
      <alignment horizontal="center"/>
    </xf>
    <xf numFmtId="168" fontId="0" fillId="0" borderId="19" xfId="0" applyNumberFormat="1" applyBorder="1"/>
    <xf numFmtId="168" fontId="12" fillId="0" borderId="19" xfId="15" applyFont="1" applyBorder="1" applyAlignment="1">
      <alignment vertical="center"/>
    </xf>
    <xf numFmtId="38" fontId="12" fillId="0" borderId="19" xfId="0" applyNumberFormat="1" applyFont="1" applyBorder="1" applyAlignment="1">
      <alignment vertical="center"/>
    </xf>
    <xf numFmtId="2" fontId="12" fillId="0" borderId="19" xfId="0" applyNumberFormat="1" applyFont="1" applyBorder="1" applyAlignment="1">
      <alignment horizontal="center" vertical="center"/>
    </xf>
    <xf numFmtId="0" fontId="25" fillId="0" borderId="0" xfId="0" applyFont="1" applyAlignment="1">
      <alignment horizontal="left"/>
    </xf>
    <xf numFmtId="0" fontId="22" fillId="0" borderId="6" xfId="0" applyFont="1" applyBorder="1" applyAlignment="1">
      <alignment horizontal="center" vertical="center"/>
    </xf>
    <xf numFmtId="0" fontId="12" fillId="0" borderId="17" xfId="18" applyFont="1" applyFill="1" applyBorder="1" applyAlignment="1">
      <alignment horizontal="center" vertical="center" wrapText="1"/>
    </xf>
    <xf numFmtId="9" fontId="46" fillId="0" borderId="0" xfId="0" applyNumberFormat="1" applyFont="1" applyAlignment="1" applyProtection="1">
      <alignment horizontal="right" vertical="center"/>
      <protection locked="0"/>
    </xf>
    <xf numFmtId="0" fontId="16" fillId="0" borderId="0" xfId="8" applyAlignment="1" applyProtection="1">
      <alignment horizontal="center"/>
      <protection locked="0" hidden="1"/>
    </xf>
    <xf numFmtId="0" fontId="20" fillId="10" borderId="9" xfId="0" applyFont="1" applyFill="1" applyBorder="1" applyAlignment="1" applyProtection="1">
      <alignment horizontal="left" vertical="center"/>
      <protection locked="0" hidden="1"/>
    </xf>
    <xf numFmtId="0" fontId="22" fillId="0" borderId="12" xfId="0" applyFont="1" applyBorder="1" applyAlignment="1" applyProtection="1">
      <alignment horizontal="right" vertical="center"/>
      <protection locked="0" hidden="1"/>
    </xf>
    <xf numFmtId="167" fontId="24" fillId="0" borderId="0" xfId="0" applyNumberFormat="1" applyFont="1" applyAlignment="1" applyProtection="1">
      <alignment horizontal="right" vertical="center"/>
      <protection locked="0" hidden="1"/>
    </xf>
    <xf numFmtId="0" fontId="20" fillId="10" borderId="9" xfId="29" applyFont="1" applyFill="1" applyBorder="1" applyAlignment="1" applyProtection="1">
      <alignment horizontal="center" vertical="center" wrapText="1"/>
      <protection locked="0"/>
    </xf>
    <xf numFmtId="179" fontId="20" fillId="10" borderId="9" xfId="29" applyNumberFormat="1" applyFont="1" applyFill="1" applyBorder="1" applyAlignment="1" applyProtection="1">
      <alignment horizontal="center" vertical="center" wrapText="1"/>
      <protection locked="0"/>
    </xf>
    <xf numFmtId="173" fontId="0" fillId="0" borderId="0" xfId="0" applyNumberFormat="1" applyProtection="1">
      <protection locked="0"/>
    </xf>
    <xf numFmtId="179" fontId="0" fillId="0" borderId="0" xfId="0" applyNumberFormat="1" applyAlignment="1" applyProtection="1">
      <alignment horizontal="left" indent="1"/>
      <protection locked="0"/>
    </xf>
    <xf numFmtId="164" fontId="0" fillId="0" borderId="0" xfId="28" applyNumberFormat="1" applyFont="1" applyAlignment="1" applyProtection="1">
      <alignment horizontal="right"/>
      <protection locked="0"/>
    </xf>
    <xf numFmtId="172" fontId="0" fillId="0" borderId="0" xfId="1" applyNumberFormat="1" applyFont="1" applyFill="1" applyAlignment="1" applyProtection="1">
      <alignment horizontal="right"/>
      <protection locked="0"/>
    </xf>
    <xf numFmtId="9" fontId="21" fillId="0" borderId="0" xfId="23" applyFont="1" applyFill="1" applyAlignment="1" applyProtection="1">
      <alignment horizontal="right" vertical="center"/>
      <protection locked="0"/>
    </xf>
    <xf numFmtId="172" fontId="0" fillId="0" borderId="0" xfId="1" applyNumberFormat="1" applyFont="1" applyFill="1" applyBorder="1" applyAlignment="1" applyProtection="1">
      <alignment horizontal="right"/>
      <protection locked="0"/>
    </xf>
    <xf numFmtId="9" fontId="21" fillId="0" borderId="0" xfId="23" applyFont="1" applyFill="1" applyBorder="1" applyAlignment="1" applyProtection="1">
      <alignment horizontal="right" vertical="center"/>
      <protection locked="0"/>
    </xf>
    <xf numFmtId="167" fontId="0" fillId="0" borderId="0" xfId="28" applyNumberFormat="1" applyFont="1" applyFill="1" applyAlignment="1" applyProtection="1">
      <alignment horizontal="right"/>
      <protection locked="0"/>
    </xf>
    <xf numFmtId="167" fontId="0" fillId="0" borderId="0" xfId="28" applyNumberFormat="1" applyFont="1" applyFill="1" applyBorder="1" applyAlignment="1" applyProtection="1">
      <alignment horizontal="right"/>
      <protection locked="0"/>
    </xf>
    <xf numFmtId="0" fontId="3" fillId="0" borderId="0" xfId="21" applyFont="1" applyAlignment="1">
      <alignment horizontal="left" indent="1"/>
    </xf>
    <xf numFmtId="0" fontId="22" fillId="0" borderId="12" xfId="21" applyFont="1" applyBorder="1" applyAlignment="1">
      <alignment horizontal="left" vertical="center" wrapText="1"/>
    </xf>
    <xf numFmtId="0" fontId="22" fillId="0" borderId="12" xfId="21" applyFont="1" applyBorder="1" applyAlignment="1">
      <alignment horizontal="right" vertical="center" wrapText="1"/>
    </xf>
    <xf numFmtId="9" fontId="22" fillId="0" borderId="12" xfId="21" applyNumberFormat="1" applyFont="1" applyBorder="1" applyAlignment="1">
      <alignment horizontal="right" vertical="center" wrapText="1"/>
    </xf>
    <xf numFmtId="0" fontId="3" fillId="0" borderId="0" xfId="21" applyFont="1" applyAlignment="1">
      <alignment horizontal="left" indent="2"/>
    </xf>
    <xf numFmtId="180" fontId="0" fillId="0" borderId="0" xfId="28" applyNumberFormat="1" applyFont="1"/>
    <xf numFmtId="180" fontId="0" fillId="9" borderId="0" xfId="28" applyNumberFormat="1" applyFont="1" applyFill="1" applyProtection="1">
      <protection locked="0" hidden="1"/>
    </xf>
    <xf numFmtId="180" fontId="0" fillId="8" borderId="0" xfId="28" applyNumberFormat="1" applyFont="1" applyFill="1" applyProtection="1">
      <protection locked="0" hidden="1"/>
    </xf>
    <xf numFmtId="10" fontId="3" fillId="0" borderId="0" xfId="1" applyNumberFormat="1" applyFont="1"/>
    <xf numFmtId="0" fontId="3" fillId="10" borderId="0" xfId="21" applyFont="1" applyFill="1"/>
    <xf numFmtId="0" fontId="3" fillId="17" borderId="0" xfId="21" applyFont="1" applyFill="1"/>
    <xf numFmtId="0" fontId="57" fillId="0" borderId="0" xfId="0" applyFont="1"/>
    <xf numFmtId="0" fontId="12" fillId="0" borderId="0" xfId="18" applyFont="1" applyFill="1" applyBorder="1" applyAlignment="1">
      <alignment vertical="center"/>
    </xf>
    <xf numFmtId="0" fontId="12" fillId="0" borderId="0" xfId="18" applyFont="1" applyFill="1" applyBorder="1" applyAlignment="1">
      <alignment horizontal="center" vertical="center"/>
    </xf>
    <xf numFmtId="0" fontId="12" fillId="0" borderId="0" xfId="18" applyFont="1" applyFill="1" applyBorder="1" applyAlignment="1">
      <alignment horizontal="justify" vertical="center"/>
    </xf>
    <xf numFmtId="167" fontId="12" fillId="0" borderId="0" xfId="28" applyNumberFormat="1" applyFont="1" applyFill="1" applyBorder="1" applyAlignment="1">
      <alignment vertical="center"/>
    </xf>
    <xf numFmtId="9" fontId="12" fillId="0" borderId="0" xfId="1" applyFont="1" applyFill="1" applyBorder="1" applyAlignment="1">
      <alignment vertical="center"/>
    </xf>
    <xf numFmtId="9" fontId="12" fillId="0" borderId="0" xfId="19" applyFont="1" applyFill="1" applyBorder="1" applyAlignment="1">
      <alignment horizontal="right" vertical="center"/>
    </xf>
    <xf numFmtId="2" fontId="12" fillId="0" borderId="0" xfId="17" applyNumberFormat="1" applyFont="1" applyAlignment="1">
      <alignment horizontal="right" vertical="center"/>
    </xf>
    <xf numFmtId="2" fontId="12" fillId="0" borderId="0" xfId="0" applyNumberFormat="1" applyFont="1" applyAlignment="1">
      <alignment vertical="center"/>
    </xf>
    <xf numFmtId="9" fontId="12" fillId="0" borderId="0" xfId="19" applyFont="1" applyBorder="1" applyAlignment="1">
      <alignment horizontal="center" vertical="center"/>
    </xf>
    <xf numFmtId="2" fontId="12" fillId="0" borderId="0" xfId="17" applyNumberFormat="1" applyFont="1" applyAlignment="1">
      <alignment horizontal="center" vertical="center"/>
    </xf>
    <xf numFmtId="0" fontId="12" fillId="0" borderId="19" xfId="18" applyFont="1" applyFill="1" applyBorder="1" applyAlignment="1">
      <alignment vertical="center"/>
    </xf>
    <xf numFmtId="0" fontId="12" fillId="0" borderId="19" xfId="18" applyFont="1" applyFill="1" applyBorder="1" applyAlignment="1">
      <alignment horizontal="center" vertical="center"/>
    </xf>
    <xf numFmtId="0" fontId="12" fillId="0" borderId="19" xfId="18" applyFont="1" applyFill="1" applyBorder="1" applyAlignment="1">
      <alignment horizontal="justify" vertical="center"/>
    </xf>
    <xf numFmtId="167" fontId="12" fillId="0" borderId="19" xfId="28" applyNumberFormat="1" applyFont="1" applyFill="1" applyBorder="1" applyAlignment="1">
      <alignment vertical="center"/>
    </xf>
    <xf numFmtId="9" fontId="12" fillId="0" borderId="19" xfId="1" applyFont="1" applyFill="1" applyBorder="1" applyAlignment="1">
      <alignment vertical="center"/>
    </xf>
    <xf numFmtId="9" fontId="12" fillId="0" borderId="19" xfId="19" applyFont="1" applyFill="1" applyBorder="1" applyAlignment="1">
      <alignment horizontal="right" vertical="center"/>
    </xf>
    <xf numFmtId="2" fontId="12" fillId="0" borderId="19" xfId="17" applyNumberFormat="1" applyFont="1" applyBorder="1" applyAlignment="1">
      <alignment horizontal="right" vertical="center"/>
    </xf>
    <xf numFmtId="2" fontId="12" fillId="0" borderId="19" xfId="0" applyNumberFormat="1" applyFont="1" applyBorder="1" applyAlignment="1">
      <alignment vertical="center"/>
    </xf>
    <xf numFmtId="9" fontId="12" fillId="0" borderId="19" xfId="19" applyFont="1" applyBorder="1" applyAlignment="1">
      <alignment horizontal="center" vertical="center"/>
    </xf>
    <xf numFmtId="2" fontId="12" fillId="0" borderId="19" xfId="17" applyNumberFormat="1" applyFont="1" applyBorder="1" applyAlignment="1">
      <alignment horizontal="center" vertical="center"/>
    </xf>
    <xf numFmtId="181" fontId="57" fillId="0" borderId="0" xfId="0" applyNumberFormat="1" applyFont="1" applyAlignment="1">
      <alignment horizontal="right" vertical="center" wrapText="1"/>
    </xf>
    <xf numFmtId="181" fontId="0" fillId="0" borderId="0" xfId="0" applyNumberFormat="1" applyAlignment="1">
      <alignment horizontal="right" vertical="center" wrapText="1"/>
    </xf>
    <xf numFmtId="181" fontId="0" fillId="0" borderId="0" xfId="28" applyNumberFormat="1" applyFont="1" applyAlignment="1">
      <alignment horizontal="right" vertical="center"/>
    </xf>
    <xf numFmtId="2" fontId="0" fillId="0" borderId="0" xfId="28" applyNumberFormat="1" applyFont="1" applyAlignment="1">
      <alignment horizontal="right" vertical="center"/>
    </xf>
    <xf numFmtId="0" fontId="20" fillId="18" borderId="0" xfId="0" applyFont="1" applyFill="1" applyAlignment="1">
      <alignment horizontal="left" vertical="center"/>
    </xf>
    <xf numFmtId="0" fontId="59" fillId="0" borderId="26" xfId="0" applyFont="1" applyBorder="1" applyAlignment="1">
      <alignment horizontal="left" vertical="center"/>
    </xf>
    <xf numFmtId="0" fontId="59" fillId="0" borderId="26" xfId="0" applyFont="1" applyBorder="1" applyAlignment="1">
      <alignment horizontal="right" vertical="center"/>
    </xf>
    <xf numFmtId="9" fontId="0" fillId="11" borderId="0" xfId="1" applyFont="1" applyFill="1" applyBorder="1" applyAlignment="1">
      <alignment horizontal="right"/>
    </xf>
    <xf numFmtId="0" fontId="59" fillId="11" borderId="26" xfId="0" applyFont="1" applyFill="1" applyBorder="1" applyAlignment="1">
      <alignment horizontal="right" vertical="center"/>
    </xf>
    <xf numFmtId="0" fontId="60" fillId="0" borderId="0" xfId="0" applyFont="1" applyAlignment="1">
      <alignment horizontal="right" vertical="center"/>
    </xf>
    <xf numFmtId="167" fontId="60" fillId="0" borderId="0" xfId="28" applyNumberFormat="1" applyFont="1" applyFill="1" applyAlignment="1">
      <alignment horizontal="right" vertical="center"/>
    </xf>
    <xf numFmtId="166" fontId="60" fillId="0" borderId="0" xfId="0" applyNumberFormat="1" applyFont="1" applyAlignment="1">
      <alignment horizontal="left" vertical="center" indent="2"/>
    </xf>
    <xf numFmtId="166" fontId="62" fillId="0" borderId="27" xfId="0" applyNumberFormat="1" applyFont="1" applyBorder="1" applyAlignment="1">
      <alignment horizontal="left" vertical="center"/>
    </xf>
    <xf numFmtId="0" fontId="62" fillId="0" borderId="27" xfId="0" applyFont="1" applyBorder="1" applyAlignment="1">
      <alignment horizontal="right" vertical="center"/>
    </xf>
    <xf numFmtId="167" fontId="62" fillId="0" borderId="27" xfId="28" applyNumberFormat="1" applyFont="1" applyFill="1" applyBorder="1" applyAlignment="1">
      <alignment horizontal="right" vertical="center"/>
    </xf>
    <xf numFmtId="0" fontId="62" fillId="11" borderId="27" xfId="0" applyFont="1" applyFill="1" applyBorder="1" applyAlignment="1">
      <alignment horizontal="right" vertical="center"/>
    </xf>
    <xf numFmtId="9" fontId="60" fillId="11" borderId="0" xfId="1" applyFont="1" applyFill="1" applyAlignment="1">
      <alignment horizontal="right" vertical="center" indent="2"/>
    </xf>
    <xf numFmtId="9" fontId="60" fillId="11" borderId="27" xfId="1" applyFont="1" applyFill="1" applyBorder="1" applyAlignment="1">
      <alignment horizontal="right" vertical="center" indent="2"/>
    </xf>
    <xf numFmtId="166" fontId="60" fillId="0" borderId="8" xfId="0" applyNumberFormat="1" applyFont="1" applyBorder="1" applyAlignment="1">
      <alignment horizontal="left" vertical="center" indent="1"/>
    </xf>
    <xf numFmtId="9" fontId="60" fillId="0" borderId="8" xfId="0" applyNumberFormat="1" applyFont="1" applyBorder="1" applyAlignment="1">
      <alignment horizontal="left" vertical="top" indent="2"/>
    </xf>
    <xf numFmtId="167" fontId="60" fillId="11" borderId="0" xfId="28" applyNumberFormat="1" applyFont="1" applyFill="1" applyAlignment="1">
      <alignment horizontal="right" vertical="center"/>
    </xf>
    <xf numFmtId="2" fontId="0" fillId="0" borderId="17" xfId="0" applyNumberFormat="1" applyBorder="1" applyAlignment="1">
      <alignment vertical="center" wrapText="1"/>
    </xf>
    <xf numFmtId="9" fontId="12" fillId="0" borderId="17" xfId="19" applyFont="1" applyFill="1" applyBorder="1" applyAlignment="1">
      <alignment horizontal="center" vertical="center" wrapText="1"/>
    </xf>
    <xf numFmtId="38" fontId="0" fillId="0" borderId="17" xfId="0" applyNumberFormat="1" applyBorder="1" applyAlignment="1">
      <alignment vertical="center"/>
    </xf>
    <xf numFmtId="2" fontId="0" fillId="0" borderId="17" xfId="0" applyNumberFormat="1" applyBorder="1" applyAlignment="1">
      <alignment horizontal="center" vertical="center"/>
    </xf>
    <xf numFmtId="2" fontId="12" fillId="0" borderId="28" xfId="17" applyNumberFormat="1" applyFont="1" applyBorder="1" applyAlignment="1">
      <alignment horizontal="center" vertical="center" wrapText="1"/>
    </xf>
    <xf numFmtId="0" fontId="60" fillId="0" borderId="0" xfId="0" applyFont="1"/>
    <xf numFmtId="10" fontId="60" fillId="0" borderId="19" xfId="19" applyNumberFormat="1" applyFont="1" applyFill="1" applyBorder="1" applyAlignment="1">
      <alignment horizontal="right"/>
    </xf>
    <xf numFmtId="0" fontId="60" fillId="0" borderId="0" xfId="21" applyFont="1" applyAlignment="1">
      <alignment horizontal="right" vertical="center"/>
    </xf>
    <xf numFmtId="0" fontId="60" fillId="0" borderId="0" xfId="21" applyFont="1" applyAlignment="1">
      <alignment horizontal="left" vertical="center" indent="2"/>
    </xf>
    <xf numFmtId="9" fontId="60" fillId="0" borderId="19" xfId="1" applyFont="1" applyFill="1" applyBorder="1" applyAlignment="1">
      <alignment horizontal="right"/>
    </xf>
    <xf numFmtId="0" fontId="62" fillId="0" borderId="30" xfId="0" applyFont="1" applyBorder="1" applyAlignment="1">
      <alignment horizontal="left" vertical="center"/>
    </xf>
    <xf numFmtId="0" fontId="62" fillId="0" borderId="30" xfId="0" applyFont="1" applyBorder="1" applyAlignment="1">
      <alignment horizontal="right" vertical="center"/>
    </xf>
    <xf numFmtId="10" fontId="62" fillId="0" borderId="27" xfId="17" applyNumberFormat="1" applyFont="1" applyBorder="1" applyAlignment="1">
      <alignment horizontal="right" vertical="center"/>
    </xf>
    <xf numFmtId="164" fontId="62" fillId="0" borderId="30" xfId="28" applyNumberFormat="1" applyFont="1" applyFill="1" applyBorder="1" applyAlignment="1">
      <alignment horizontal="right" vertical="center"/>
    </xf>
    <xf numFmtId="172" fontId="62" fillId="14" borderId="30" xfId="1" applyNumberFormat="1" applyFont="1" applyFill="1" applyBorder="1" applyAlignment="1">
      <alignment horizontal="right" vertical="center"/>
    </xf>
    <xf numFmtId="0" fontId="63" fillId="0" borderId="0" xfId="0" applyFont="1" applyAlignment="1">
      <alignment horizontal="left"/>
    </xf>
    <xf numFmtId="0" fontId="59" fillId="0" borderId="0" xfId="21" applyFont="1" applyAlignment="1">
      <alignment horizontal="center" vertical="center" wrapText="1"/>
    </xf>
    <xf numFmtId="0" fontId="59" fillId="0" borderId="0" xfId="21" applyFont="1" applyAlignment="1">
      <alignment horizontal="center" vertical="center"/>
    </xf>
    <xf numFmtId="0" fontId="60" fillId="0" borderId="0" xfId="21" applyFont="1"/>
    <xf numFmtId="167" fontId="60" fillId="0" borderId="0" xfId="26" applyNumberFormat="1" applyFont="1"/>
    <xf numFmtId="170" fontId="60" fillId="0" borderId="0" xfId="26" applyNumberFormat="1" applyFont="1"/>
    <xf numFmtId="10" fontId="60" fillId="0" borderId="0" xfId="26" applyNumberFormat="1" applyFont="1" applyAlignment="1">
      <alignment horizontal="center"/>
    </xf>
    <xf numFmtId="0" fontId="60" fillId="0" borderId="13" xfId="21" applyFont="1" applyBorder="1"/>
    <xf numFmtId="167" fontId="60" fillId="0" borderId="13" xfId="26" applyNumberFormat="1" applyFont="1" applyBorder="1"/>
    <xf numFmtId="170" fontId="60" fillId="0" borderId="13" xfId="26" applyNumberFormat="1" applyFont="1" applyBorder="1"/>
    <xf numFmtId="10" fontId="60" fillId="0" borderId="13" xfId="26" applyNumberFormat="1" applyFont="1" applyBorder="1" applyAlignment="1">
      <alignment horizontal="center"/>
    </xf>
    <xf numFmtId="165" fontId="60" fillId="0" borderId="0" xfId="26" applyFont="1" applyAlignment="1">
      <alignment horizontal="center"/>
    </xf>
    <xf numFmtId="165" fontId="60" fillId="0" borderId="13" xfId="26" applyFont="1" applyBorder="1" applyAlignment="1">
      <alignment horizontal="center"/>
    </xf>
    <xf numFmtId="0" fontId="60" fillId="0" borderId="0" xfId="21" applyFont="1" applyAlignment="1">
      <alignment horizontal="left"/>
    </xf>
    <xf numFmtId="167" fontId="60" fillId="0" borderId="0" xfId="26" applyNumberFormat="1" applyFont="1" applyAlignment="1">
      <alignment horizontal="left"/>
    </xf>
    <xf numFmtId="0" fontId="60" fillId="0" borderId="13" xfId="21" applyFont="1" applyBorder="1" applyAlignment="1">
      <alignment horizontal="left"/>
    </xf>
    <xf numFmtId="167" fontId="60" fillId="0" borderId="13" xfId="26" applyNumberFormat="1" applyFont="1" applyBorder="1" applyAlignment="1">
      <alignment horizontal="left"/>
    </xf>
    <xf numFmtId="10" fontId="60" fillId="13" borderId="13" xfId="26" applyNumberFormat="1" applyFont="1" applyFill="1" applyBorder="1" applyAlignment="1">
      <alignment horizontal="center"/>
    </xf>
    <xf numFmtId="0" fontId="60" fillId="0" borderId="10" xfId="21" applyFont="1" applyBorder="1"/>
    <xf numFmtId="170" fontId="60" fillId="0" borderId="0" xfId="26" applyNumberFormat="1" applyFont="1" applyBorder="1"/>
    <xf numFmtId="10" fontId="60" fillId="0" borderId="0" xfId="26" applyNumberFormat="1" applyFont="1" applyBorder="1" applyAlignment="1">
      <alignment horizontal="center"/>
    </xf>
    <xf numFmtId="0" fontId="60" fillId="0" borderId="30" xfId="21" applyFont="1" applyBorder="1" applyAlignment="1">
      <alignment horizontal="left" vertical="center"/>
    </xf>
    <xf numFmtId="0" fontId="60" fillId="0" borderId="30" xfId="21" applyFont="1" applyBorder="1" applyAlignment="1">
      <alignment horizontal="center" vertical="center"/>
    </xf>
    <xf numFmtId="170" fontId="60" fillId="0" borderId="30" xfId="26" applyNumberFormat="1" applyFont="1" applyBorder="1" applyAlignment="1">
      <alignment horizontal="center" vertical="center"/>
    </xf>
    <xf numFmtId="10" fontId="60" fillId="0" borderId="30" xfId="26" applyNumberFormat="1" applyFont="1" applyBorder="1" applyAlignment="1">
      <alignment horizontal="center" vertical="center"/>
    </xf>
    <xf numFmtId="0" fontId="59" fillId="0" borderId="29" xfId="21" applyFont="1" applyBorder="1" applyAlignment="1">
      <alignment horizontal="left" vertical="center" wrapText="1"/>
    </xf>
    <xf numFmtId="0" fontId="59" fillId="0" borderId="29" xfId="21" applyFont="1" applyBorder="1" applyAlignment="1">
      <alignment horizontal="right" vertical="center" wrapText="1"/>
    </xf>
    <xf numFmtId="9" fontId="59" fillId="0" borderId="29" xfId="21" applyNumberFormat="1" applyFont="1" applyBorder="1" applyAlignment="1">
      <alignment horizontal="right" vertical="center" wrapText="1"/>
    </xf>
    <xf numFmtId="172" fontId="60" fillId="0" borderId="0" xfId="21" applyNumberFormat="1" applyFont="1" applyAlignment="1">
      <alignment horizontal="right" vertical="center"/>
    </xf>
    <xf numFmtId="0" fontId="63" fillId="0" borderId="0" xfId="21" applyFont="1" applyAlignment="1">
      <alignment horizontal="right"/>
    </xf>
    <xf numFmtId="0" fontId="59" fillId="0" borderId="29" xfId="21" applyFont="1" applyBorder="1" applyAlignment="1">
      <alignment horizontal="left" vertical="center"/>
    </xf>
    <xf numFmtId="0" fontId="60" fillId="0" borderId="0" xfId="0" applyFont="1" applyAlignment="1" applyProtection="1">
      <alignment horizontal="left" vertical="center" indent="2"/>
      <protection locked="0"/>
    </xf>
    <xf numFmtId="172" fontId="60" fillId="0" borderId="0" xfId="1" applyNumberFormat="1" applyFont="1" applyFill="1" applyAlignment="1" applyProtection="1">
      <alignment horizontal="right" vertical="center"/>
      <protection locked="0"/>
    </xf>
    <xf numFmtId="0" fontId="63" fillId="0" borderId="0" xfId="0" applyFont="1" applyAlignment="1" applyProtection="1">
      <alignment horizontal="right"/>
      <protection locked="0"/>
    </xf>
    <xf numFmtId="0" fontId="20" fillId="18" borderId="0" xfId="0" applyFont="1" applyFill="1" applyAlignment="1" applyProtection="1">
      <alignment horizontal="left" vertical="center"/>
      <protection locked="0"/>
    </xf>
    <xf numFmtId="0" fontId="62" fillId="0" borderId="0" xfId="0" applyFont="1" applyAlignment="1" applyProtection="1">
      <alignment horizontal="right" vertical="center"/>
      <protection locked="0"/>
    </xf>
    <xf numFmtId="0" fontId="63" fillId="0" borderId="0" xfId="0" applyFont="1" applyAlignment="1" applyProtection="1">
      <alignment horizontal="left"/>
      <protection locked="0"/>
    </xf>
    <xf numFmtId="15" fontId="62" fillId="0" borderId="30" xfId="0" applyNumberFormat="1" applyFont="1" applyBorder="1" applyAlignment="1">
      <alignment horizontal="left" vertical="center"/>
    </xf>
    <xf numFmtId="168" fontId="62" fillId="0" borderId="30" xfId="0" applyNumberFormat="1" applyFont="1" applyBorder="1" applyAlignment="1">
      <alignment horizontal="right" vertical="center"/>
    </xf>
    <xf numFmtId="168" fontId="60" fillId="0" borderId="19" xfId="0" applyNumberFormat="1" applyFont="1" applyBorder="1" applyAlignment="1">
      <alignment horizontal="right" vertical="center"/>
    </xf>
    <xf numFmtId="0" fontId="62" fillId="0" borderId="27" xfId="0" applyFont="1" applyBorder="1" applyAlignment="1" applyProtection="1">
      <alignment horizontal="right" vertical="center"/>
      <protection locked="0"/>
    </xf>
    <xf numFmtId="167" fontId="62" fillId="0" borderId="30" xfId="0" applyNumberFormat="1" applyFont="1" applyBorder="1" applyAlignment="1" applyProtection="1">
      <alignment horizontal="left" vertical="center"/>
      <protection locked="0"/>
    </xf>
    <xf numFmtId="168" fontId="62" fillId="0" borderId="30" xfId="15" applyFont="1" applyBorder="1" applyAlignment="1" applyProtection="1">
      <alignment horizontal="right" vertical="center"/>
      <protection locked="0"/>
    </xf>
    <xf numFmtId="168" fontId="62" fillId="6" borderId="30" xfId="15" applyFont="1" applyFill="1" applyBorder="1" applyAlignment="1" applyProtection="1">
      <alignment horizontal="right" vertical="center"/>
      <protection locked="0"/>
    </xf>
    <xf numFmtId="0" fontId="60" fillId="0" borderId="18" xfId="0" applyFont="1" applyBorder="1" applyAlignment="1" applyProtection="1">
      <alignment horizontal="left" vertical="center" indent="2"/>
      <protection locked="0"/>
    </xf>
    <xf numFmtId="167" fontId="63" fillId="0" borderId="0" xfId="0" applyNumberFormat="1" applyFont="1" applyAlignment="1" applyProtection="1">
      <alignment horizontal="right"/>
      <protection locked="0"/>
    </xf>
    <xf numFmtId="0" fontId="60" fillId="0" borderId="18" xfId="0" applyFont="1" applyBorder="1" applyProtection="1">
      <protection locked="0"/>
    </xf>
    <xf numFmtId="167" fontId="60" fillId="0" borderId="18" xfId="0" applyNumberFormat="1" applyFont="1" applyBorder="1" applyProtection="1">
      <protection locked="0"/>
    </xf>
    <xf numFmtId="3" fontId="60" fillId="0" borderId="8" xfId="0" applyNumberFormat="1" applyFont="1" applyBorder="1" applyAlignment="1">
      <alignment horizontal="left" vertical="center" indent="1"/>
    </xf>
    <xf numFmtId="3" fontId="60" fillId="0" borderId="8" xfId="0" applyNumberFormat="1" applyFont="1" applyBorder="1" applyAlignment="1">
      <alignment horizontal="right" vertical="center"/>
    </xf>
    <xf numFmtId="3" fontId="60" fillId="11" borderId="8" xfId="0" applyNumberFormat="1" applyFont="1" applyFill="1" applyBorder="1" applyAlignment="1">
      <alignment horizontal="right" vertical="center"/>
    </xf>
    <xf numFmtId="0" fontId="59" fillId="0" borderId="0" xfId="0" applyFont="1"/>
    <xf numFmtId="169" fontId="60" fillId="0" borderId="0" xfId="16" applyFont="1">
      <alignment horizontal="center"/>
    </xf>
    <xf numFmtId="172" fontId="60" fillId="0" borderId="8" xfId="1" applyNumberFormat="1" applyFont="1" applyFill="1" applyBorder="1" applyAlignment="1">
      <alignment horizontal="right" vertical="top"/>
    </xf>
    <xf numFmtId="172" fontId="60" fillId="11" borderId="8" xfId="1" applyNumberFormat="1" applyFont="1" applyFill="1" applyBorder="1" applyAlignment="1">
      <alignment horizontal="right" vertical="top"/>
    </xf>
    <xf numFmtId="0" fontId="59" fillId="0" borderId="0" xfId="0" applyFont="1" applyAlignment="1" applyProtection="1">
      <alignment horizontal="left" vertical="center" indent="1"/>
      <protection locked="0"/>
    </xf>
    <xf numFmtId="167" fontId="59" fillId="0" borderId="0" xfId="28" applyNumberFormat="1" applyFont="1" applyFill="1" applyAlignment="1" applyProtection="1">
      <alignment horizontal="right" vertical="center"/>
      <protection locked="0"/>
    </xf>
    <xf numFmtId="167" fontId="59" fillId="0" borderId="0" xfId="0" applyNumberFormat="1" applyFont="1" applyAlignment="1" applyProtection="1">
      <alignment horizontal="right" vertical="center"/>
      <protection locked="0"/>
    </xf>
    <xf numFmtId="9" fontId="62" fillId="11" borderId="27" xfId="1" applyFont="1" applyFill="1" applyBorder="1" applyAlignment="1">
      <alignment horizontal="right" vertical="center"/>
    </xf>
    <xf numFmtId="0" fontId="3" fillId="18" borderId="0" xfId="21" applyFont="1" applyFill="1"/>
    <xf numFmtId="0" fontId="3" fillId="19" borderId="0" xfId="21" applyFont="1" applyFill="1"/>
    <xf numFmtId="0" fontId="33" fillId="0" borderId="26" xfId="0" applyFont="1" applyBorder="1" applyAlignment="1">
      <alignment horizontal="left" vertical="center"/>
    </xf>
    <xf numFmtId="0" fontId="33" fillId="0" borderId="26" xfId="0" applyFont="1" applyBorder="1" applyAlignment="1">
      <alignment horizontal="right" vertical="center"/>
    </xf>
    <xf numFmtId="0" fontId="33" fillId="11" borderId="26" xfId="0" applyFont="1" applyFill="1" applyBorder="1" applyAlignment="1">
      <alignment horizontal="right" vertical="center"/>
    </xf>
    <xf numFmtId="0" fontId="12" fillId="0" borderId="0" xfId="0" applyFont="1" applyAlignment="1">
      <alignment horizontal="left" vertical="center" indent="2"/>
    </xf>
    <xf numFmtId="167" fontId="12" fillId="0" borderId="0" xfId="28" applyNumberFormat="1" applyFont="1" applyFill="1" applyAlignment="1">
      <alignment horizontal="left" vertical="center" indent="2"/>
    </xf>
    <xf numFmtId="167" fontId="12" fillId="0" borderId="0" xfId="28" applyNumberFormat="1" applyFont="1" applyFill="1" applyAlignment="1">
      <alignment horizontal="right" vertical="center"/>
    </xf>
    <xf numFmtId="9" fontId="12" fillId="11" borderId="0" xfId="1" applyFont="1" applyFill="1" applyBorder="1" applyAlignment="1">
      <alignment horizontal="right" vertical="center" indent="2"/>
    </xf>
    <xf numFmtId="0" fontId="30" fillId="0" borderId="0" xfId="0" applyFont="1" applyAlignment="1">
      <alignment horizontal="left" vertical="center" indent="3"/>
    </xf>
    <xf numFmtId="9" fontId="12" fillId="11" borderId="0" xfId="1" applyFont="1" applyFill="1" applyAlignment="1">
      <alignment horizontal="right" vertical="center" indent="2"/>
    </xf>
    <xf numFmtId="167" fontId="12" fillId="0" borderId="0" xfId="28" applyNumberFormat="1" applyFont="1" applyFill="1"/>
    <xf numFmtId="0" fontId="12" fillId="0" borderId="0" xfId="0" applyFont="1" applyAlignment="1">
      <alignment horizontal="right" vertical="center"/>
    </xf>
    <xf numFmtId="166" fontId="12" fillId="0" borderId="0" xfId="0" applyNumberFormat="1" applyFont="1" applyAlignment="1">
      <alignment horizontal="left" vertical="center" indent="2"/>
    </xf>
    <xf numFmtId="0" fontId="64" fillId="0" borderId="0" xfId="0" applyFont="1" applyAlignment="1">
      <alignment horizontal="left" vertical="center"/>
    </xf>
    <xf numFmtId="0" fontId="64" fillId="11" borderId="0" xfId="0" applyFont="1" applyFill="1" applyAlignment="1">
      <alignment horizontal="right"/>
    </xf>
    <xf numFmtId="0" fontId="12" fillId="0" borderId="0" xfId="0" applyFont="1" applyAlignment="1">
      <alignment horizontal="left" indent="1"/>
    </xf>
    <xf numFmtId="9" fontId="12" fillId="0" borderId="0" xfId="1" applyFont="1" applyFill="1"/>
    <xf numFmtId="172" fontId="12" fillId="0" borderId="0" xfId="1" applyNumberFormat="1" applyFont="1" applyFill="1" applyAlignment="1">
      <alignment horizontal="right"/>
    </xf>
    <xf numFmtId="172" fontId="12" fillId="11" borderId="0" xfId="1" applyNumberFormat="1" applyFont="1" applyFill="1" applyAlignment="1">
      <alignment horizontal="right"/>
    </xf>
    <xf numFmtId="9" fontId="12" fillId="0" borderId="0" xfId="1" applyFont="1" applyFill="1" applyAlignment="1">
      <alignment horizontal="right"/>
    </xf>
    <xf numFmtId="9" fontId="12" fillId="11" borderId="0" xfId="1" applyFont="1" applyFill="1" applyAlignment="1">
      <alignment horizontal="right"/>
    </xf>
    <xf numFmtId="9" fontId="64" fillId="11" borderId="0" xfId="1" applyFont="1" applyFill="1" applyAlignment="1">
      <alignment horizontal="right"/>
    </xf>
    <xf numFmtId="166" fontId="12" fillId="0" borderId="30" xfId="0" applyNumberFormat="1" applyFont="1" applyBorder="1" applyAlignment="1">
      <alignment horizontal="left" vertical="center"/>
    </xf>
    <xf numFmtId="9" fontId="12" fillId="0" borderId="30" xfId="0" applyNumberFormat="1" applyFont="1" applyBorder="1" applyAlignment="1">
      <alignment horizontal="right" vertical="center"/>
    </xf>
    <xf numFmtId="172" fontId="12" fillId="0" borderId="30" xfId="1" applyNumberFormat="1" applyFont="1" applyFill="1" applyBorder="1" applyAlignment="1">
      <alignment horizontal="right" vertical="center"/>
    </xf>
    <xf numFmtId="172" fontId="12" fillId="11" borderId="30" xfId="1" applyNumberFormat="1" applyFont="1" applyFill="1" applyBorder="1" applyAlignment="1">
      <alignment horizontal="right" vertical="center"/>
    </xf>
    <xf numFmtId="166" fontId="64" fillId="0" borderId="0" xfId="0" applyNumberFormat="1" applyFont="1" applyAlignment="1">
      <alignment horizontal="left" vertical="center"/>
    </xf>
    <xf numFmtId="0" fontId="64" fillId="0" borderId="0" xfId="0" applyFont="1" applyAlignment="1">
      <alignment vertical="center"/>
    </xf>
    <xf numFmtId="168" fontId="12" fillId="0" borderId="0" xfId="0" applyNumberFormat="1" applyFont="1"/>
    <xf numFmtId="168" fontId="12" fillId="11" borderId="0" xfId="0" applyNumberFormat="1" applyFont="1" applyFill="1" applyAlignment="1">
      <alignment horizontal="right"/>
    </xf>
    <xf numFmtId="0" fontId="33" fillId="0" borderId="0" xfId="0" applyFont="1" applyAlignment="1">
      <alignment horizontal="left" vertical="center"/>
    </xf>
    <xf numFmtId="168" fontId="12" fillId="0" borderId="0" xfId="0" applyNumberFormat="1" applyFont="1" applyAlignment="1">
      <alignment horizontal="right"/>
    </xf>
    <xf numFmtId="168" fontId="12" fillId="0" borderId="0" xfId="15" applyFont="1" applyAlignment="1">
      <alignment horizontal="right"/>
    </xf>
    <xf numFmtId="0" fontId="12" fillId="0" borderId="0" xfId="0" applyFont="1" applyAlignment="1">
      <alignment horizontal="right"/>
    </xf>
    <xf numFmtId="0" fontId="12" fillId="11" borderId="0" xfId="0" applyFont="1" applyFill="1" applyAlignment="1">
      <alignment horizontal="right"/>
    </xf>
    <xf numFmtId="3" fontId="12" fillId="0" borderId="0" xfId="0" applyNumberFormat="1" applyFont="1"/>
    <xf numFmtId="166" fontId="12" fillId="0" borderId="30" xfId="0" applyNumberFormat="1" applyFont="1" applyBorder="1" applyAlignment="1">
      <alignment horizontal="left" vertical="center" indent="1"/>
    </xf>
    <xf numFmtId="3" fontId="12" fillId="0" borderId="30" xfId="0" applyNumberFormat="1" applyFont="1" applyBorder="1" applyAlignment="1">
      <alignment horizontal="right" vertical="center"/>
    </xf>
    <xf numFmtId="0" fontId="30" fillId="0" borderId="0" xfId="0" applyFont="1" applyAlignment="1">
      <alignment horizontal="left" vertical="center" indent="1"/>
    </xf>
    <xf numFmtId="9" fontId="12" fillId="0" borderId="0" xfId="1" applyFont="1" applyFill="1" applyAlignment="1">
      <alignment horizontal="right" vertical="center"/>
    </xf>
    <xf numFmtId="166" fontId="12" fillId="0" borderId="8" xfId="0" applyNumberFormat="1" applyFont="1" applyBorder="1" applyAlignment="1">
      <alignment horizontal="left" vertical="center" indent="2"/>
    </xf>
    <xf numFmtId="9" fontId="12" fillId="0" borderId="8" xfId="0" applyNumberFormat="1" applyFont="1" applyBorder="1" applyAlignment="1">
      <alignment horizontal="right" vertical="center"/>
    </xf>
    <xf numFmtId="0" fontId="33" fillId="4" borderId="26" xfId="0" applyFont="1" applyFill="1" applyBorder="1" applyAlignment="1">
      <alignment horizontal="right" vertical="center"/>
    </xf>
    <xf numFmtId="9" fontId="12" fillId="0" borderId="17" xfId="1" applyFont="1" applyFill="1" applyBorder="1" applyAlignment="1">
      <alignment horizontal="right" vertical="center" wrapText="1"/>
    </xf>
    <xf numFmtId="9" fontId="12" fillId="0" borderId="17" xfId="19" applyFont="1" applyFill="1" applyBorder="1" applyAlignment="1">
      <alignment horizontal="right" vertical="center" wrapText="1"/>
    </xf>
    <xf numFmtId="0" fontId="12" fillId="0" borderId="0" xfId="18" applyFont="1" applyFill="1" applyBorder="1" applyAlignment="1">
      <alignment horizontal="left" vertical="center" wrapText="1" indent="2"/>
    </xf>
    <xf numFmtId="0" fontId="12" fillId="0" borderId="0" xfId="18" applyFont="1" applyFill="1" applyBorder="1" applyAlignment="1">
      <alignment horizontal="right" vertical="center" wrapText="1"/>
    </xf>
    <xf numFmtId="38" fontId="12" fillId="0" borderId="0" xfId="0" applyNumberFormat="1" applyFont="1" applyAlignment="1">
      <alignment horizontal="right" vertical="center" wrapText="1"/>
    </xf>
    <xf numFmtId="9" fontId="12" fillId="0" borderId="0" xfId="19" applyFont="1" applyFill="1" applyBorder="1" applyAlignment="1">
      <alignment horizontal="right" vertical="center" wrapText="1"/>
    </xf>
    <xf numFmtId="2" fontId="12" fillId="0" borderId="0" xfId="17" applyNumberFormat="1" applyFont="1" applyAlignment="1">
      <alignment horizontal="right" vertical="center" wrapText="1"/>
    </xf>
    <xf numFmtId="9" fontId="12" fillId="0" borderId="0" xfId="19" applyFont="1" applyBorder="1" applyAlignment="1">
      <alignment horizontal="right" vertical="center" wrapText="1"/>
    </xf>
    <xf numFmtId="38" fontId="12" fillId="0" borderId="0" xfId="0" applyNumberFormat="1" applyFont="1" applyAlignment="1">
      <alignment horizontal="right" vertical="center"/>
    </xf>
    <xf numFmtId="9" fontId="12" fillId="0" borderId="0" xfId="1" applyFont="1" applyFill="1" applyBorder="1" applyAlignment="1">
      <alignment horizontal="right" vertical="center"/>
    </xf>
    <xf numFmtId="9" fontId="12" fillId="0" borderId="0" xfId="19" applyFont="1" applyBorder="1" applyAlignment="1">
      <alignment horizontal="right" vertical="center"/>
    </xf>
    <xf numFmtId="0" fontId="33" fillId="0" borderId="0" xfId="0" applyFont="1" applyAlignment="1">
      <alignment horizontal="right" indent="2"/>
    </xf>
    <xf numFmtId="0" fontId="65" fillId="0" borderId="0" xfId="0" applyFont="1"/>
    <xf numFmtId="0" fontId="33" fillId="0" borderId="0" xfId="17" applyFont="1" applyAlignment="1">
      <alignment horizontal="center"/>
    </xf>
    <xf numFmtId="0" fontId="12" fillId="0" borderId="0" xfId="17" applyFont="1" applyAlignment="1">
      <alignment horizontal="right" indent="2"/>
    </xf>
    <xf numFmtId="0" fontId="30" fillId="0" borderId="0" xfId="0" applyFont="1"/>
    <xf numFmtId="0" fontId="12" fillId="0" borderId="0" xfId="0" applyFont="1" applyAlignment="1">
      <alignment horizontal="right" indent="2"/>
    </xf>
    <xf numFmtId="0" fontId="33" fillId="0" borderId="29" xfId="17" applyFont="1" applyBorder="1" applyAlignment="1">
      <alignment horizontal="left" vertical="center"/>
    </xf>
    <xf numFmtId="0" fontId="33" fillId="4" borderId="29" xfId="21" applyFont="1" applyFill="1" applyBorder="1" applyAlignment="1">
      <alignment horizontal="right" vertical="center"/>
    </xf>
    <xf numFmtId="0" fontId="12" fillId="0" borderId="0" xfId="21" applyFont="1" applyAlignment="1">
      <alignment horizontal="left" indent="1"/>
    </xf>
    <xf numFmtId="0" fontId="12" fillId="0" borderId="30" xfId="21" applyFont="1" applyBorder="1" applyAlignment="1">
      <alignment horizontal="left" vertical="center" indent="1"/>
    </xf>
    <xf numFmtId="9" fontId="33" fillId="0" borderId="26" xfId="1" applyFont="1" applyFill="1" applyBorder="1" applyAlignment="1">
      <alignment horizontal="right" vertical="center"/>
    </xf>
    <xf numFmtId="0" fontId="12" fillId="0" borderId="30" xfId="0" applyFont="1" applyBorder="1" applyAlignment="1">
      <alignment horizontal="left" vertical="center"/>
    </xf>
    <xf numFmtId="0" fontId="33" fillId="14" borderId="26" xfId="0" applyFont="1" applyFill="1" applyBorder="1" applyAlignment="1">
      <alignment horizontal="right" vertical="center"/>
    </xf>
    <xf numFmtId="172" fontId="12" fillId="14" borderId="0" xfId="1" applyNumberFormat="1" applyFont="1" applyFill="1"/>
    <xf numFmtId="172" fontId="12" fillId="14" borderId="0" xfId="1" applyNumberFormat="1" applyFont="1" applyFill="1" applyBorder="1"/>
    <xf numFmtId="0" fontId="64" fillId="0" borderId="0" xfId="17" applyFont="1" applyAlignment="1">
      <alignment horizontal="left" indent="1"/>
    </xf>
    <xf numFmtId="0" fontId="12" fillId="0" borderId="0" xfId="17" applyFont="1" applyAlignment="1">
      <alignment horizontal="center"/>
    </xf>
    <xf numFmtId="0" fontId="64" fillId="0" borderId="0" xfId="21" applyFont="1" applyAlignment="1">
      <alignment horizontal="left" indent="2"/>
    </xf>
    <xf numFmtId="0" fontId="12" fillId="0" borderId="0" xfId="17" applyFont="1" applyAlignment="1">
      <alignment horizontal="left" indent="2"/>
    </xf>
    <xf numFmtId="172" fontId="12" fillId="0" borderId="0" xfId="19" applyNumberFormat="1" applyFont="1" applyFill="1" applyAlignment="1">
      <alignment horizontal="right"/>
    </xf>
    <xf numFmtId="171" fontId="12" fillId="0" borderId="0" xfId="17" applyNumberFormat="1" applyFont="1" applyAlignment="1">
      <alignment horizontal="right"/>
    </xf>
    <xf numFmtId="172" fontId="12" fillId="0" borderId="0" xfId="21" applyNumberFormat="1" applyFont="1" applyAlignment="1">
      <alignment horizontal="right"/>
    </xf>
    <xf numFmtId="172" fontId="12" fillId="0" borderId="0" xfId="17" applyNumberFormat="1" applyFont="1" applyAlignment="1">
      <alignment horizontal="right"/>
    </xf>
    <xf numFmtId="0" fontId="12" fillId="0" borderId="0" xfId="17" applyFont="1"/>
    <xf numFmtId="1" fontId="30" fillId="0" borderId="0" xfId="7" applyNumberFormat="1" applyFill="1" applyAlignment="1">
      <alignment horizontal="left" wrapText="1" indent="2"/>
    </xf>
    <xf numFmtId="1" fontId="30" fillId="0" borderId="0" xfId="7" applyNumberFormat="1" applyFill="1" applyAlignment="1">
      <alignment wrapText="1"/>
    </xf>
    <xf numFmtId="9" fontId="12" fillId="0" borderId="0" xfId="19" applyFont="1" applyFill="1" applyAlignment="1">
      <alignment horizontal="left"/>
    </xf>
    <xf numFmtId="0" fontId="33" fillId="0" borderId="26" xfId="0" applyFont="1" applyBorder="1" applyAlignment="1" applyProtection="1">
      <alignment horizontal="left" vertical="center"/>
      <protection locked="0"/>
    </xf>
    <xf numFmtId="0" fontId="33" fillId="0" borderId="26" xfId="0" applyFont="1" applyBorder="1" applyAlignment="1" applyProtection="1">
      <alignment horizontal="right" vertical="center"/>
      <protection locked="0"/>
    </xf>
    <xf numFmtId="0" fontId="12" fillId="0" borderId="0" xfId="0" applyFont="1" applyAlignment="1" applyProtection="1">
      <alignment horizontal="left" vertical="center" indent="2"/>
      <protection locked="0"/>
    </xf>
    <xf numFmtId="9" fontId="12" fillId="0" borderId="0" xfId="1" applyFont="1" applyFill="1" applyProtection="1">
      <protection locked="0"/>
    </xf>
    <xf numFmtId="167" fontId="12" fillId="0" borderId="0" xfId="0" applyNumberFormat="1" applyFont="1" applyProtection="1">
      <protection locked="0"/>
    </xf>
    <xf numFmtId="0" fontId="12" fillId="0" borderId="0" xfId="0" applyFont="1" applyProtection="1">
      <protection locked="0"/>
    </xf>
    <xf numFmtId="175" fontId="12" fillId="5" borderId="1" xfId="4" applyNumberFormat="1" applyFont="1" applyAlignment="1" applyProtection="1">
      <alignment horizontal="center"/>
      <protection locked="0"/>
    </xf>
    <xf numFmtId="0" fontId="12" fillId="0" borderId="0" xfId="0" applyFont="1" applyAlignment="1" applyProtection="1">
      <alignment horizontal="center"/>
      <protection locked="0"/>
    </xf>
    <xf numFmtId="0" fontId="33" fillId="0" borderId="0" xfId="0" applyFont="1" applyProtection="1">
      <protection locked="0"/>
    </xf>
    <xf numFmtId="179" fontId="12" fillId="5" borderId="1" xfId="4" applyNumberFormat="1" applyFont="1" applyAlignment="1" applyProtection="1">
      <alignment horizontal="center"/>
      <protection locked="0"/>
    </xf>
    <xf numFmtId="49" fontId="12" fillId="5" borderId="1" xfId="4" applyNumberFormat="1" applyFont="1" applyAlignment="1" applyProtection="1">
      <alignment horizontal="right"/>
      <protection locked="0"/>
    </xf>
    <xf numFmtId="9" fontId="12" fillId="5" borderId="1" xfId="4" applyNumberFormat="1" applyFont="1" applyProtection="1">
      <protection locked="0"/>
    </xf>
    <xf numFmtId="0" fontId="30" fillId="0" borderId="0" xfId="8" applyFont="1" applyProtection="1">
      <protection locked="0"/>
    </xf>
    <xf numFmtId="0" fontId="30" fillId="0" borderId="22" xfId="7" applyBorder="1" applyProtection="1">
      <alignment horizontal="left" indent="2"/>
      <protection locked="0"/>
    </xf>
    <xf numFmtId="0" fontId="12" fillId="0" borderId="23" xfId="0" applyFont="1" applyBorder="1" applyProtection="1">
      <protection locked="0"/>
    </xf>
    <xf numFmtId="0" fontId="12" fillId="0" borderId="24" xfId="0" applyFont="1" applyBorder="1" applyProtection="1">
      <protection locked="0"/>
    </xf>
    <xf numFmtId="0" fontId="33" fillId="0" borderId="26" xfId="0" applyFont="1" applyBorder="1" applyAlignment="1" applyProtection="1">
      <alignment horizontal="right" vertical="center"/>
      <protection locked="0" hidden="1"/>
    </xf>
    <xf numFmtId="167" fontId="12" fillId="0" borderId="0" xfId="28" applyNumberFormat="1" applyFont="1" applyFill="1" applyProtection="1">
      <protection locked="0" hidden="1"/>
    </xf>
    <xf numFmtId="9" fontId="12" fillId="6" borderId="5" xfId="11" applyNumberFormat="1" applyFont="1" applyAlignment="1" applyProtection="1">
      <alignment horizontal="center"/>
      <protection locked="0"/>
    </xf>
    <xf numFmtId="0" fontId="30" fillId="0" borderId="0" xfId="0" applyFont="1" applyAlignment="1" applyProtection="1">
      <alignment horizontal="left" vertical="center" indent="2"/>
      <protection locked="0"/>
    </xf>
    <xf numFmtId="167" fontId="30" fillId="5" borderId="1" xfId="28" applyNumberFormat="1" applyFont="1" applyFill="1" applyBorder="1" applyAlignment="1" applyProtection="1">
      <alignment horizontal="center"/>
      <protection locked="0"/>
    </xf>
    <xf numFmtId="167" fontId="30" fillId="0" borderId="0" xfId="28" applyNumberFormat="1" applyFont="1" applyFill="1" applyProtection="1">
      <protection locked="0" hidden="1"/>
    </xf>
    <xf numFmtId="0" fontId="12" fillId="0" borderId="0" xfId="0" applyFont="1" applyProtection="1">
      <protection locked="0" hidden="1"/>
    </xf>
    <xf numFmtId="167" fontId="12" fillId="0" borderId="0" xfId="0" applyNumberFormat="1" applyFont="1" applyProtection="1">
      <protection locked="0" hidden="1"/>
    </xf>
    <xf numFmtId="39" fontId="12" fillId="0" borderId="0" xfId="0" applyNumberFormat="1" applyFont="1" applyProtection="1">
      <protection locked="0" hidden="1"/>
    </xf>
    <xf numFmtId="9" fontId="12" fillId="0" borderId="5" xfId="11" applyNumberFormat="1" applyFont="1" applyFill="1" applyAlignment="1" applyProtection="1">
      <alignment horizontal="center"/>
      <protection locked="0"/>
    </xf>
    <xf numFmtId="9" fontId="30" fillId="0" borderId="0" xfId="1" applyFont="1" applyFill="1" applyProtection="1">
      <protection locked="0" hidden="1"/>
    </xf>
    <xf numFmtId="9" fontId="12" fillId="0" borderId="4" xfId="10" applyNumberFormat="1" applyAlignment="1">
      <alignment horizontal="center"/>
    </xf>
    <xf numFmtId="167" fontId="12" fillId="0" borderId="0" xfId="0" applyNumberFormat="1" applyFont="1" applyAlignment="1" applyProtection="1">
      <alignment horizontal="right"/>
      <protection locked="0"/>
    </xf>
    <xf numFmtId="9" fontId="12" fillId="0" borderId="25" xfId="10" applyNumberFormat="1" applyBorder="1" applyAlignment="1">
      <alignment horizontal="center"/>
    </xf>
    <xf numFmtId="0" fontId="12" fillId="0" borderId="0" xfId="0" applyFont="1" applyAlignment="1" applyProtection="1">
      <alignment horizontal="left"/>
      <protection locked="0"/>
    </xf>
    <xf numFmtId="168" fontId="12" fillId="0" borderId="0" xfId="15" applyFont="1" applyAlignment="1" applyProtection="1">
      <alignment horizontal="right"/>
      <protection locked="0"/>
    </xf>
    <xf numFmtId="172" fontId="12" fillId="0" borderId="0" xfId="0" applyNumberFormat="1" applyFont="1" applyAlignment="1" applyProtection="1">
      <alignment horizontal="right"/>
      <protection locked="0"/>
    </xf>
    <xf numFmtId="0" fontId="64" fillId="0" borderId="0" xfId="0" applyFont="1" applyProtection="1">
      <protection locked="0"/>
    </xf>
    <xf numFmtId="172" fontId="12" fillId="0" borderId="21" xfId="0" applyNumberFormat="1" applyFont="1" applyBorder="1" applyAlignment="1" applyProtection="1">
      <alignment horizontal="right"/>
      <protection locked="0"/>
    </xf>
    <xf numFmtId="167" fontId="33" fillId="0" borderId="0" xfId="0" applyNumberFormat="1" applyFont="1" applyAlignment="1" applyProtection="1">
      <alignment horizontal="left"/>
      <protection locked="0"/>
    </xf>
    <xf numFmtId="0" fontId="12" fillId="0" borderId="0" xfId="0" applyFont="1" applyAlignment="1" applyProtection="1">
      <alignment horizontal="right"/>
      <protection locked="0"/>
    </xf>
    <xf numFmtId="179" fontId="12" fillId="0" borderId="0" xfId="0" applyNumberFormat="1" applyFont="1" applyAlignment="1" applyProtection="1">
      <alignment horizontal="left" indent="1"/>
      <protection locked="0"/>
    </xf>
    <xf numFmtId="164" fontId="12" fillId="6" borderId="0" xfId="28" applyNumberFormat="1" applyFont="1" applyFill="1" applyAlignment="1" applyProtection="1">
      <alignment horizontal="right"/>
      <protection locked="0"/>
    </xf>
    <xf numFmtId="164" fontId="12" fillId="0" borderId="0" xfId="28" applyNumberFormat="1" applyFont="1" applyFill="1" applyAlignment="1" applyProtection="1">
      <alignment horizontal="right"/>
      <protection locked="0"/>
    </xf>
    <xf numFmtId="179" fontId="12" fillId="0" borderId="0" xfId="0" applyNumberFormat="1" applyFont="1" applyProtection="1">
      <protection locked="0"/>
    </xf>
    <xf numFmtId="168" fontId="12" fillId="0" borderId="0" xfId="0" applyNumberFormat="1" applyFont="1" applyAlignment="1" applyProtection="1">
      <alignment horizontal="center"/>
      <protection locked="0"/>
    </xf>
    <xf numFmtId="168" fontId="12" fillId="6" borderId="0" xfId="0" applyNumberFormat="1" applyFont="1" applyFill="1" applyAlignment="1" applyProtection="1">
      <alignment horizontal="right"/>
      <protection locked="0"/>
    </xf>
    <xf numFmtId="0" fontId="12" fillId="11" borderId="0" xfId="0" applyFont="1" applyFill="1" applyProtection="1">
      <protection locked="0"/>
    </xf>
    <xf numFmtId="167" fontId="12" fillId="11" borderId="0" xfId="28" applyNumberFormat="1" applyFont="1" applyFill="1" applyProtection="1">
      <protection locked="0"/>
    </xf>
    <xf numFmtId="164" fontId="12" fillId="11" borderId="0" xfId="28" applyNumberFormat="1" applyFont="1" applyFill="1" applyProtection="1">
      <protection locked="0"/>
    </xf>
    <xf numFmtId="0" fontId="33" fillId="11" borderId="0" xfId="0" applyFont="1" applyFill="1" applyProtection="1">
      <protection locked="0"/>
    </xf>
    <xf numFmtId="168" fontId="33" fillId="11" borderId="0" xfId="15" applyFont="1" applyFill="1" applyProtection="1">
      <protection locked="0"/>
    </xf>
    <xf numFmtId="168" fontId="33" fillId="0" borderId="0" xfId="15" applyFont="1" applyProtection="1">
      <protection locked="0"/>
    </xf>
    <xf numFmtId="0" fontId="12" fillId="5" borderId="1" xfId="4" applyNumberFormat="1" applyFont="1" applyAlignment="1" applyProtection="1">
      <alignment horizontal="center"/>
      <protection locked="0"/>
    </xf>
    <xf numFmtId="0" fontId="30" fillId="0" borderId="23" xfId="0" applyFont="1" applyBorder="1" applyProtection="1">
      <protection locked="0"/>
    </xf>
    <xf numFmtId="0" fontId="12" fillId="6" borderId="5" xfId="11" applyFont="1" applyAlignment="1" applyProtection="1">
      <alignment horizontal="right"/>
      <protection locked="0"/>
    </xf>
    <xf numFmtId="167" fontId="12" fillId="0" borderId="0" xfId="28" applyNumberFormat="1" applyFont="1" applyAlignment="1" applyProtection="1">
      <alignment horizontal="right" vertical="center"/>
      <protection locked="0"/>
    </xf>
    <xf numFmtId="0" fontId="33" fillId="0" borderId="26" xfId="21" applyFont="1" applyBorder="1" applyAlignment="1" applyProtection="1">
      <alignment horizontal="left" vertical="center"/>
      <protection locked="0"/>
    </xf>
    <xf numFmtId="0" fontId="33" fillId="0" borderId="26" xfId="21" applyFont="1" applyBorder="1" applyAlignment="1" applyProtection="1">
      <alignment horizontal="right" vertical="center"/>
      <protection locked="0"/>
    </xf>
    <xf numFmtId="166" fontId="12" fillId="0" borderId="0" xfId="21" applyNumberFormat="1" applyFont="1" applyAlignment="1" applyProtection="1">
      <alignment horizontal="left" vertical="center" indent="2"/>
      <protection locked="0"/>
    </xf>
    <xf numFmtId="0" fontId="12" fillId="0" borderId="0" xfId="0" applyFont="1" applyAlignment="1" applyProtection="1">
      <alignment horizontal="left" indent="2"/>
      <protection locked="0"/>
    </xf>
    <xf numFmtId="167" fontId="12" fillId="0" borderId="0" xfId="28" applyNumberFormat="1" applyFont="1" applyFill="1" applyAlignment="1" applyProtection="1">
      <alignment horizontal="center"/>
      <protection locked="0"/>
    </xf>
    <xf numFmtId="9" fontId="30" fillId="0" borderId="0" xfId="0" applyNumberFormat="1" applyFont="1" applyProtection="1">
      <protection locked="0"/>
    </xf>
    <xf numFmtId="0" fontId="33" fillId="0" borderId="26" xfId="0" applyFont="1" applyBorder="1" applyAlignment="1">
      <alignment horizontal="right" vertical="center" wrapText="1"/>
    </xf>
    <xf numFmtId="0" fontId="12" fillId="0" borderId="0" xfId="0" applyFont="1" applyAlignment="1">
      <alignment horizontal="left"/>
    </xf>
    <xf numFmtId="168" fontId="12" fillId="0" borderId="0" xfId="0" applyNumberFormat="1" applyFont="1" applyAlignment="1">
      <alignment horizontal="right" vertical="center"/>
    </xf>
    <xf numFmtId="168" fontId="12" fillId="0" borderId="30" xfId="0" applyNumberFormat="1" applyFont="1" applyBorder="1" applyAlignment="1">
      <alignment horizontal="right" vertical="center"/>
    </xf>
    <xf numFmtId="0" fontId="12" fillId="0" borderId="0" xfId="0" applyFont="1" applyAlignment="1">
      <alignment horizontal="left" vertical="center"/>
    </xf>
    <xf numFmtId="0" fontId="67" fillId="0" borderId="0" xfId="0" applyFont="1"/>
    <xf numFmtId="0" fontId="12" fillId="0" borderId="0" xfId="18" applyFont="1" applyFill="1" applyBorder="1" applyAlignment="1">
      <alignment horizontal="left" vertical="center" wrapText="1"/>
    </xf>
    <xf numFmtId="0" fontId="4" fillId="5" borderId="34" xfId="4" applyBorder="1" applyAlignment="1">
      <alignment horizontal="right"/>
    </xf>
    <xf numFmtId="0" fontId="4" fillId="5" borderId="15" xfId="4" applyBorder="1" applyAlignment="1">
      <alignment horizontal="right"/>
    </xf>
    <xf numFmtId="10" fontId="66" fillId="0" borderId="0" xfId="19" applyNumberFormat="1" applyFont="1" applyFill="1" applyAlignment="1">
      <alignment horizontal="right"/>
    </xf>
    <xf numFmtId="10" fontId="66" fillId="0" borderId="0" xfId="19" applyNumberFormat="1" applyFont="1" applyFill="1" applyBorder="1" applyAlignment="1">
      <alignment horizontal="right"/>
    </xf>
    <xf numFmtId="10" fontId="66" fillId="0" borderId="30" xfId="19" applyNumberFormat="1" applyFont="1" applyFill="1" applyBorder="1" applyAlignment="1">
      <alignment horizontal="right" vertical="center"/>
    </xf>
    <xf numFmtId="167" fontId="12" fillId="0" borderId="0" xfId="28" applyNumberFormat="1" applyFont="1" applyAlignment="1">
      <alignment horizontal="right"/>
    </xf>
    <xf numFmtId="9" fontId="12" fillId="0" borderId="0" xfId="1" applyFont="1" applyAlignment="1">
      <alignment horizontal="right"/>
    </xf>
    <xf numFmtId="2" fontId="12" fillId="0" borderId="0" xfId="0" applyNumberFormat="1" applyFont="1" applyAlignment="1">
      <alignment horizontal="right"/>
    </xf>
    <xf numFmtId="167" fontId="33" fillId="0" borderId="0" xfId="28" applyNumberFormat="1" applyFont="1" applyAlignment="1">
      <alignment horizontal="right"/>
    </xf>
    <xf numFmtId="9" fontId="33" fillId="0" borderId="0" xfId="1" applyFont="1" applyAlignment="1">
      <alignment horizontal="right"/>
    </xf>
    <xf numFmtId="2" fontId="33" fillId="0" borderId="0" xfId="0" applyNumberFormat="1" applyFont="1" applyAlignment="1">
      <alignment horizontal="right"/>
    </xf>
    <xf numFmtId="172" fontId="12" fillId="14" borderId="0" xfId="1" applyNumberFormat="1" applyFont="1" applyFill="1" applyAlignment="1">
      <alignment horizontal="right"/>
    </xf>
    <xf numFmtId="164" fontId="66" fillId="0" borderId="0" xfId="28" applyNumberFormat="1" applyFont="1" applyFill="1" applyBorder="1" applyAlignment="1">
      <alignment horizontal="right"/>
    </xf>
    <xf numFmtId="9" fontId="66" fillId="0" borderId="0" xfId="28" applyNumberFormat="1" applyFont="1" applyFill="1" applyBorder="1" applyAlignment="1">
      <alignment horizontal="right"/>
    </xf>
    <xf numFmtId="0" fontId="30" fillId="0" borderId="0" xfId="7" applyAlignment="1">
      <alignment horizontal="right"/>
    </xf>
    <xf numFmtId="9" fontId="0" fillId="0" borderId="0" xfId="1" applyFont="1" applyAlignment="1">
      <alignment horizontal="right"/>
    </xf>
    <xf numFmtId="1" fontId="0" fillId="0" borderId="0" xfId="1" applyNumberFormat="1" applyFont="1" applyAlignment="1">
      <alignment horizontal="right"/>
    </xf>
    <xf numFmtId="0" fontId="0" fillId="0" borderId="0" xfId="0" applyAlignment="1">
      <alignment vertical="center"/>
    </xf>
    <xf numFmtId="0" fontId="52" fillId="0" borderId="0" xfId="2" applyAlignment="1">
      <alignment vertical="center"/>
    </xf>
    <xf numFmtId="0" fontId="0" fillId="0" borderId="0" xfId="0" applyAlignment="1">
      <alignment horizontal="left" vertical="center"/>
    </xf>
    <xf numFmtId="0" fontId="12" fillId="5" borderId="1" xfId="4" applyNumberFormat="1" applyFont="1" applyAlignment="1">
      <alignment horizontal="left" vertical="center"/>
    </xf>
    <xf numFmtId="0" fontId="68" fillId="0" borderId="0" xfId="0" applyFont="1" applyAlignment="1">
      <alignment horizontal="left" vertical="center"/>
    </xf>
    <xf numFmtId="15" fontId="66" fillId="0" borderId="0" xfId="0" applyNumberFormat="1" applyFont="1" applyAlignment="1">
      <alignment horizontal="left" vertical="center"/>
    </xf>
    <xf numFmtId="0" fontId="69"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xf>
    <xf numFmtId="168" fontId="12" fillId="0" borderId="0" xfId="0" applyNumberFormat="1" applyFont="1" applyAlignment="1">
      <alignment vertical="center"/>
    </xf>
    <xf numFmtId="0" fontId="55" fillId="0" borderId="0" xfId="0" applyFont="1" applyAlignment="1">
      <alignment vertical="center"/>
    </xf>
    <xf numFmtId="0" fontId="25" fillId="0" borderId="0" xfId="0" applyFont="1" applyAlignment="1" applyProtection="1">
      <alignment horizontal="left" vertical="center"/>
      <protection locked="0"/>
    </xf>
    <xf numFmtId="0" fontId="33" fillId="0" borderId="26" xfId="0" applyFont="1" applyBorder="1" applyAlignment="1">
      <alignment horizontal="center" vertical="center"/>
    </xf>
    <xf numFmtId="0" fontId="66" fillId="0" borderId="0" xfId="0" applyFont="1" applyAlignment="1">
      <alignment horizontal="left" vertical="center"/>
    </xf>
    <xf numFmtId="0" fontId="66" fillId="0" borderId="0" xfId="0" applyFont="1" applyAlignment="1">
      <alignment horizontal="center" vertical="center"/>
    </xf>
    <xf numFmtId="182" fontId="66" fillId="0" borderId="0" xfId="0" applyNumberFormat="1" applyFont="1" applyAlignment="1">
      <alignment horizontal="right" vertical="center"/>
    </xf>
    <xf numFmtId="183" fontId="66" fillId="0" borderId="0" xfId="0" applyNumberFormat="1" applyFont="1" applyAlignment="1">
      <alignment horizontal="right" vertical="center"/>
    </xf>
    <xf numFmtId="0" fontId="12" fillId="5" borderId="0" xfId="21" applyFont="1" applyFill="1"/>
    <xf numFmtId="0" fontId="12" fillId="5" borderId="30" xfId="21" applyFont="1" applyFill="1" applyBorder="1" applyAlignment="1">
      <alignment horizontal="left" vertical="center"/>
    </xf>
    <xf numFmtId="0" fontId="0" fillId="5" borderId="0" xfId="0" applyFill="1"/>
    <xf numFmtId="0" fontId="0" fillId="5" borderId="0" xfId="0" applyFill="1" applyAlignment="1">
      <alignment horizontal="left"/>
    </xf>
    <xf numFmtId="0" fontId="63" fillId="0" borderId="0" xfId="17" applyFont="1" applyAlignment="1">
      <alignment horizontal="right"/>
    </xf>
    <xf numFmtId="0" fontId="19" fillId="0" borderId="0" xfId="17" applyFont="1" applyAlignment="1">
      <alignment horizontal="center"/>
    </xf>
    <xf numFmtId="0" fontId="33" fillId="12" borderId="26" xfId="0" applyFont="1" applyFill="1" applyBorder="1" applyAlignment="1">
      <alignment horizontal="left" vertical="center"/>
    </xf>
    <xf numFmtId="0" fontId="33" fillId="12" borderId="26" xfId="0" applyFont="1" applyFill="1" applyBorder="1" applyAlignment="1">
      <alignment horizontal="right" vertical="center"/>
    </xf>
    <xf numFmtId="0" fontId="33" fillId="12" borderId="26" xfId="0" applyFont="1" applyFill="1" applyBorder="1" applyAlignment="1">
      <alignment horizontal="right" vertical="center" wrapText="1"/>
    </xf>
    <xf numFmtId="0" fontId="33" fillId="12" borderId="29" xfId="0" applyFont="1" applyFill="1" applyBorder="1" applyAlignment="1">
      <alignment horizontal="right" vertical="center" wrapText="1"/>
    </xf>
    <xf numFmtId="0" fontId="33" fillId="12" borderId="29" xfId="0" applyFont="1" applyFill="1" applyBorder="1" applyAlignment="1">
      <alignment horizontal="right" vertical="center"/>
    </xf>
    <xf numFmtId="0" fontId="33" fillId="12" borderId="29" xfId="17" applyFont="1" applyFill="1" applyBorder="1" applyAlignment="1">
      <alignment horizontal="right" vertical="center" wrapText="1"/>
    </xf>
    <xf numFmtId="0" fontId="71" fillId="0" borderId="0" xfId="3" applyFont="1"/>
    <xf numFmtId="10" fontId="60" fillId="0" borderId="0" xfId="19" applyNumberFormat="1" applyFont="1" applyFill="1" applyBorder="1" applyAlignment="1">
      <alignment horizontal="right" vertical="center"/>
    </xf>
    <xf numFmtId="0" fontId="67" fillId="0" borderId="0" xfId="0" applyFont="1" applyAlignment="1">
      <alignment horizontal="left"/>
    </xf>
    <xf numFmtId="0" fontId="20" fillId="0" borderId="0" xfId="21" applyFont="1" applyAlignment="1">
      <alignment horizontal="left" vertical="center"/>
    </xf>
    <xf numFmtId="0" fontId="20" fillId="0" borderId="0" xfId="0" applyFont="1" applyAlignment="1">
      <alignment horizontal="left" vertical="center"/>
    </xf>
    <xf numFmtId="0" fontId="59" fillId="0" borderId="0" xfId="0" applyFont="1" applyAlignment="1">
      <alignment horizontal="left" vertical="center"/>
    </xf>
    <xf numFmtId="0" fontId="59" fillId="0" borderId="0" xfId="0" applyFont="1" applyAlignment="1">
      <alignment vertical="center"/>
    </xf>
    <xf numFmtId="0" fontId="59" fillId="0" borderId="0" xfId="0" applyFont="1" applyAlignment="1">
      <alignment horizontal="right" vertical="center"/>
    </xf>
    <xf numFmtId="0" fontId="60" fillId="0" borderId="0" xfId="0" applyFont="1" applyAlignment="1">
      <alignment horizontal="left" vertical="center" indent="2"/>
    </xf>
    <xf numFmtId="0" fontId="60" fillId="0" borderId="0" xfId="0" applyFont="1" applyAlignment="1">
      <alignment vertical="center"/>
    </xf>
    <xf numFmtId="0" fontId="12" fillId="12" borderId="0" xfId="0" applyFont="1" applyFill="1" applyAlignment="1">
      <alignment horizontal="left" indent="1"/>
    </xf>
    <xf numFmtId="0" fontId="12" fillId="12" borderId="0" xfId="0" applyFont="1" applyFill="1"/>
    <xf numFmtId="9" fontId="66" fillId="12" borderId="0" xfId="28" applyNumberFormat="1" applyFont="1" applyFill="1" applyBorder="1" applyAlignment="1">
      <alignment horizontal="right"/>
    </xf>
    <xf numFmtId="168" fontId="12" fillId="0" borderId="0" xfId="1" applyNumberFormat="1" applyFont="1" applyFill="1" applyBorder="1" applyAlignment="1">
      <alignment horizontal="right" vertical="center"/>
    </xf>
    <xf numFmtId="167" fontId="12" fillId="0" borderId="0" xfId="28" applyNumberFormat="1" applyFont="1" applyFill="1" applyBorder="1" applyAlignment="1">
      <alignment horizontal="right" vertical="center"/>
    </xf>
    <xf numFmtId="14" fontId="12" fillId="0" borderId="0" xfId="17" applyNumberFormat="1" applyFont="1" applyAlignment="1">
      <alignment horizontal="right" vertical="center"/>
    </xf>
    <xf numFmtId="9" fontId="12" fillId="0" borderId="13" xfId="1" applyFont="1" applyFill="1" applyBorder="1" applyAlignment="1">
      <alignment horizontal="right" vertical="center"/>
    </xf>
    <xf numFmtId="168" fontId="12" fillId="0" borderId="13" xfId="1" applyNumberFormat="1" applyFont="1" applyFill="1" applyBorder="1" applyAlignment="1">
      <alignment horizontal="right" vertical="center"/>
    </xf>
    <xf numFmtId="9" fontId="12" fillId="0" borderId="13" xfId="19" applyFont="1" applyFill="1" applyBorder="1" applyAlignment="1">
      <alignment horizontal="right" vertical="center"/>
    </xf>
    <xf numFmtId="9" fontId="12" fillId="0" borderId="13" xfId="19" applyFont="1" applyBorder="1" applyAlignment="1">
      <alignment horizontal="right" vertical="center"/>
    </xf>
    <xf numFmtId="2" fontId="12" fillId="0" borderId="0" xfId="1" applyNumberFormat="1" applyFont="1" applyFill="1" applyBorder="1" applyAlignment="1">
      <alignment horizontal="right" vertical="center"/>
    </xf>
    <xf numFmtId="2" fontId="12" fillId="0" borderId="13" xfId="1" applyNumberFormat="1" applyFont="1" applyFill="1" applyBorder="1" applyAlignment="1">
      <alignment horizontal="right" vertical="center"/>
    </xf>
    <xf numFmtId="0" fontId="12" fillId="0" borderId="0" xfId="18" applyFont="1" applyFill="1" applyBorder="1" applyAlignment="1">
      <alignment horizontal="left" vertical="center"/>
    </xf>
    <xf numFmtId="2" fontId="12" fillId="0" borderId="0" xfId="0" applyNumberFormat="1" applyFont="1" applyAlignment="1">
      <alignment horizontal="right" vertical="center"/>
    </xf>
    <xf numFmtId="0" fontId="12" fillId="0" borderId="0" xfId="18" applyFont="1" applyFill="1" applyBorder="1" applyAlignment="1">
      <alignment horizontal="right" vertical="center"/>
    </xf>
    <xf numFmtId="14" fontId="12" fillId="20" borderId="35" xfId="18" applyNumberFormat="1" applyFont="1" applyFill="1" applyBorder="1" applyAlignment="1">
      <alignment horizontal="right" vertical="center"/>
    </xf>
    <xf numFmtId="14" fontId="12" fillId="20" borderId="0" xfId="18" applyNumberFormat="1" applyFont="1" applyFill="1" applyBorder="1" applyAlignment="1">
      <alignment horizontal="right" vertical="center"/>
    </xf>
    <xf numFmtId="0" fontId="12" fillId="0" borderId="13" xfId="18" applyFont="1" applyFill="1" applyBorder="1" applyAlignment="1">
      <alignment horizontal="left" vertical="center"/>
    </xf>
    <xf numFmtId="167" fontId="12" fillId="0" borderId="13" xfId="28" applyNumberFormat="1" applyFont="1" applyFill="1" applyBorder="1" applyAlignment="1">
      <alignment horizontal="right" vertical="center"/>
    </xf>
    <xf numFmtId="2" fontId="12" fillId="0" borderId="13" xfId="0" applyNumberFormat="1" applyFont="1" applyBorder="1" applyAlignment="1">
      <alignment horizontal="right" vertical="center"/>
    </xf>
    <xf numFmtId="0" fontId="12" fillId="0" borderId="13" xfId="18" applyFont="1" applyFill="1" applyBorder="1" applyAlignment="1">
      <alignment horizontal="right" vertical="center"/>
    </xf>
    <xf numFmtId="14" fontId="12" fillId="20" borderId="13" xfId="18" applyNumberFormat="1" applyFont="1" applyFill="1" applyBorder="1" applyAlignment="1">
      <alignment horizontal="right" vertical="center"/>
    </xf>
    <xf numFmtId="38" fontId="12" fillId="0" borderId="17" xfId="0" applyNumberFormat="1" applyFont="1" applyBorder="1" applyAlignment="1">
      <alignment horizontal="right" vertical="center"/>
    </xf>
    <xf numFmtId="0" fontId="12" fillId="0" borderId="17" xfId="18" applyFont="1" applyFill="1" applyBorder="1" applyAlignment="1">
      <alignment horizontal="right" vertical="center" wrapText="1"/>
    </xf>
    <xf numFmtId="172" fontId="0" fillId="0" borderId="0" xfId="1" applyNumberFormat="1" applyFont="1"/>
    <xf numFmtId="172" fontId="12" fillId="0" borderId="0" xfId="1" applyNumberFormat="1" applyFont="1" applyFill="1" applyBorder="1" applyAlignment="1">
      <alignment horizontal="right"/>
    </xf>
    <xf numFmtId="172" fontId="4" fillId="5" borderId="1" xfId="4" applyNumberFormat="1" applyAlignment="1">
      <alignment horizontal="right"/>
    </xf>
    <xf numFmtId="0" fontId="4" fillId="5" borderId="1" xfId="4" applyAlignment="1">
      <alignment horizontal="left" vertical="center"/>
    </xf>
    <xf numFmtId="0" fontId="4" fillId="5" borderId="1" xfId="4" applyAlignment="1">
      <alignment horizontal="left" vertical="center" wrapText="1" indent="2"/>
    </xf>
    <xf numFmtId="0" fontId="4" fillId="5" borderId="1" xfId="4" applyAlignment="1">
      <alignment horizontal="left" vertical="center" wrapText="1"/>
    </xf>
    <xf numFmtId="38" fontId="4" fillId="5" borderId="1" xfId="4" applyNumberFormat="1" applyAlignment="1">
      <alignment horizontal="right" vertical="center" wrapText="1"/>
    </xf>
    <xf numFmtId="9" fontId="4" fillId="5" borderId="1" xfId="4" applyNumberFormat="1" applyAlignment="1">
      <alignment horizontal="right" vertical="center" wrapText="1"/>
    </xf>
    <xf numFmtId="2" fontId="12" fillId="0" borderId="0" xfId="0" applyNumberFormat="1" applyFont="1" applyAlignment="1">
      <alignment horizontal="right" vertical="center" wrapText="1"/>
    </xf>
    <xf numFmtId="0" fontId="20" fillId="21" borderId="0" xfId="0" applyFont="1" applyFill="1" applyAlignment="1">
      <alignment horizontal="left" vertical="center"/>
    </xf>
    <xf numFmtId="0" fontId="72" fillId="0" borderId="0" xfId="0" applyFont="1" applyAlignment="1">
      <alignment horizontal="left" vertical="center" indent="1"/>
    </xf>
    <xf numFmtId="166" fontId="72" fillId="0" borderId="0" xfId="0" applyNumberFormat="1" applyFont="1" applyAlignment="1">
      <alignment horizontal="left" vertical="center" indent="1"/>
    </xf>
    <xf numFmtId="166" fontId="72" fillId="0" borderId="27" xfId="0" applyNumberFormat="1" applyFont="1" applyBorder="1" applyAlignment="1">
      <alignment horizontal="left" vertical="center"/>
    </xf>
    <xf numFmtId="0" fontId="72" fillId="0" borderId="0" xfId="0" applyFont="1" applyAlignment="1">
      <alignment horizontal="right" vertical="center"/>
    </xf>
    <xf numFmtId="167" fontId="72" fillId="0" borderId="0" xfId="28" applyNumberFormat="1" applyFont="1" applyFill="1" applyAlignment="1">
      <alignment horizontal="right" vertical="center"/>
    </xf>
    <xf numFmtId="0" fontId="72" fillId="0" borderId="27" xfId="0" applyFont="1" applyBorder="1" applyAlignment="1">
      <alignment horizontal="right" vertical="center"/>
    </xf>
    <xf numFmtId="167" fontId="72" fillId="0" borderId="27" xfId="28" applyNumberFormat="1" applyFont="1" applyFill="1" applyBorder="1" applyAlignment="1">
      <alignment horizontal="right" vertical="center"/>
    </xf>
    <xf numFmtId="0" fontId="72" fillId="0" borderId="27" xfId="0" applyFont="1" applyBorder="1" applyAlignment="1">
      <alignment horizontal="left" vertical="center"/>
    </xf>
    <xf numFmtId="0" fontId="20" fillId="21" borderId="0" xfId="17" applyFont="1" applyFill="1" applyAlignment="1">
      <alignment horizontal="left" vertical="center"/>
    </xf>
    <xf numFmtId="0" fontId="20" fillId="21" borderId="0" xfId="17" applyFont="1" applyFill="1" applyAlignment="1">
      <alignment horizontal="left" vertical="center" wrapText="1"/>
    </xf>
    <xf numFmtId="0" fontId="20" fillId="21" borderId="0" xfId="21" applyFont="1" applyFill="1" applyAlignment="1">
      <alignment horizontal="left" vertical="center"/>
    </xf>
    <xf numFmtId="0" fontId="73" fillId="0" borderId="0" xfId="0" applyFont="1" applyAlignment="1">
      <alignment horizontal="left"/>
    </xf>
    <xf numFmtId="0" fontId="20" fillId="21" borderId="0" xfId="20" applyFont="1" applyFill="1" applyBorder="1" applyAlignment="1">
      <alignment horizontal="left" vertical="center"/>
    </xf>
    <xf numFmtId="0" fontId="20" fillId="21" borderId="0" xfId="20" applyFont="1" applyFill="1" applyBorder="1" applyAlignment="1">
      <alignment horizontal="right" vertical="center"/>
    </xf>
    <xf numFmtId="0" fontId="20" fillId="21" borderId="9" xfId="17" applyFont="1" applyFill="1" applyBorder="1" applyAlignment="1">
      <alignment horizontal="left" vertical="center"/>
    </xf>
    <xf numFmtId="0" fontId="20" fillId="21" borderId="9" xfId="17" applyFont="1" applyFill="1" applyBorder="1" applyAlignment="1">
      <alignment horizontal="left" vertical="center" wrapText="1"/>
    </xf>
    <xf numFmtId="0" fontId="72" fillId="0" borderId="0" xfId="17" applyFont="1" applyAlignment="1">
      <alignment horizontal="left" vertical="center" indent="1"/>
    </xf>
    <xf numFmtId="172" fontId="72" fillId="0" borderId="0" xfId="1" applyNumberFormat="1" applyFont="1" applyFill="1" applyAlignment="1">
      <alignment horizontal="right" vertical="center"/>
    </xf>
    <xf numFmtId="172" fontId="72" fillId="0" borderId="0" xfId="17" applyNumberFormat="1" applyFont="1" applyAlignment="1">
      <alignment horizontal="right" vertical="center"/>
    </xf>
    <xf numFmtId="0" fontId="72" fillId="0" borderId="27" xfId="17" applyFont="1" applyBorder="1" applyAlignment="1">
      <alignment horizontal="left" vertical="center"/>
    </xf>
    <xf numFmtId="172" fontId="72" fillId="0" borderId="27" xfId="17" applyNumberFormat="1" applyFont="1" applyBorder="1" applyAlignment="1">
      <alignment horizontal="right" vertical="center"/>
    </xf>
    <xf numFmtId="0" fontId="73" fillId="0" borderId="0" xfId="21" applyFont="1" applyAlignment="1">
      <alignment horizontal="left"/>
    </xf>
    <xf numFmtId="0" fontId="20" fillId="21" borderId="0" xfId="0" applyFont="1" applyFill="1" applyAlignment="1" applyProtection="1">
      <alignment horizontal="left" vertical="center"/>
      <protection locked="0"/>
    </xf>
    <xf numFmtId="0" fontId="73" fillId="0" borderId="0" xfId="0" applyFont="1" applyAlignment="1" applyProtection="1">
      <alignment horizontal="left"/>
      <protection locked="0"/>
    </xf>
    <xf numFmtId="0" fontId="72" fillId="0" borderId="27" xfId="0" applyFont="1" applyBorder="1" applyAlignment="1" applyProtection="1">
      <alignment horizontal="left" vertical="center"/>
      <protection locked="0"/>
    </xf>
    <xf numFmtId="167" fontId="72" fillId="0" borderId="27" xfId="0" applyNumberFormat="1" applyFont="1" applyBorder="1" applyAlignment="1" applyProtection="1">
      <alignment horizontal="right" vertical="center"/>
      <protection locked="0"/>
    </xf>
    <xf numFmtId="0" fontId="72" fillId="0" borderId="0" xfId="0" applyFont="1" applyAlignment="1" applyProtection="1">
      <alignment horizontal="left" vertical="center" indent="1"/>
      <protection locked="0"/>
    </xf>
    <xf numFmtId="0" fontId="72" fillId="0" borderId="0" xfId="0" applyFont="1" applyAlignment="1" applyProtection="1">
      <alignment horizontal="right" vertical="center"/>
      <protection locked="0"/>
    </xf>
    <xf numFmtId="167" fontId="72" fillId="0" borderId="0" xfId="0" applyNumberFormat="1" applyFont="1" applyAlignment="1" applyProtection="1">
      <alignment horizontal="right" vertical="center"/>
      <protection locked="0"/>
    </xf>
    <xf numFmtId="0" fontId="20" fillId="21" borderId="0" xfId="0" applyFont="1" applyFill="1" applyAlignment="1" applyProtection="1">
      <alignment horizontal="left" vertical="center"/>
      <protection locked="0" hidden="1"/>
    </xf>
    <xf numFmtId="167" fontId="72" fillId="0" borderId="0" xfId="0" applyNumberFormat="1" applyFont="1" applyAlignment="1" applyProtection="1">
      <alignment horizontal="right" vertical="center"/>
      <protection locked="0" hidden="1"/>
    </xf>
    <xf numFmtId="0" fontId="20" fillId="21" borderId="9" xfId="0" applyFont="1" applyFill="1" applyBorder="1" applyAlignment="1" applyProtection="1">
      <alignment horizontal="left" vertical="center"/>
      <protection locked="0"/>
    </xf>
    <xf numFmtId="0" fontId="74" fillId="0" borderId="0" xfId="0" applyFont="1" applyProtection="1">
      <protection locked="0"/>
    </xf>
    <xf numFmtId="0" fontId="20" fillId="21" borderId="0" xfId="21" applyFont="1" applyFill="1" applyAlignment="1" applyProtection="1">
      <alignment horizontal="left" vertical="center"/>
      <protection locked="0"/>
    </xf>
    <xf numFmtId="167" fontId="72" fillId="0" borderId="0" xfId="28" applyNumberFormat="1" applyFont="1" applyFill="1" applyAlignment="1" applyProtection="1">
      <alignment horizontal="right" vertical="center"/>
      <protection locked="0"/>
    </xf>
    <xf numFmtId="177" fontId="72" fillId="0" borderId="27" xfId="0" applyNumberFormat="1" applyFont="1" applyBorder="1" applyAlignment="1" applyProtection="1">
      <alignment horizontal="right" vertical="center"/>
      <protection locked="0"/>
    </xf>
    <xf numFmtId="0" fontId="73" fillId="0" borderId="0" xfId="0" applyFont="1" applyAlignment="1" applyProtection="1">
      <alignment horizontal="left" vertical="center"/>
      <protection locked="0"/>
    </xf>
    <xf numFmtId="0" fontId="20" fillId="21" borderId="9" xfId="0" applyFont="1" applyFill="1" applyBorder="1" applyAlignment="1">
      <alignment horizontal="left" vertical="center"/>
    </xf>
    <xf numFmtId="0" fontId="72" fillId="0" borderId="27" xfId="21" applyFont="1" applyBorder="1" applyAlignment="1">
      <alignment horizontal="left" vertical="center"/>
    </xf>
    <xf numFmtId="172" fontId="72" fillId="0" borderId="27" xfId="21" applyNumberFormat="1" applyFont="1" applyBorder="1" applyAlignment="1">
      <alignment horizontal="right" vertical="center"/>
    </xf>
    <xf numFmtId="0" fontId="72" fillId="0" borderId="27" xfId="21" applyFont="1" applyBorder="1" applyAlignment="1">
      <alignment horizontal="right" vertical="center"/>
    </xf>
    <xf numFmtId="0" fontId="30" fillId="0" borderId="0" xfId="0" applyFont="1" applyAlignment="1">
      <alignment horizontal="right" vertical="center"/>
    </xf>
    <xf numFmtId="0" fontId="72" fillId="0" borderId="0" xfId="0" applyFont="1" applyAlignment="1">
      <alignment horizontal="left" vertical="center"/>
    </xf>
    <xf numFmtId="0" fontId="72" fillId="0" borderId="37" xfId="0" applyFont="1" applyBorder="1" applyAlignment="1">
      <alignment horizontal="left" vertical="center" indent="1"/>
    </xf>
    <xf numFmtId="0" fontId="19" fillId="0" borderId="37" xfId="0" applyFont="1" applyBorder="1"/>
    <xf numFmtId="0" fontId="76" fillId="0" borderId="0" xfId="0" applyFont="1"/>
    <xf numFmtId="0" fontId="75" fillId="0" borderId="0" xfId="0" applyFont="1"/>
    <xf numFmtId="0" fontId="77" fillId="0" borderId="0" xfId="0" applyFont="1"/>
    <xf numFmtId="0" fontId="78" fillId="5" borderId="0" xfId="0" applyFont="1" applyFill="1"/>
    <xf numFmtId="0" fontId="79" fillId="0" borderId="0" xfId="0" applyFont="1"/>
    <xf numFmtId="165" fontId="72" fillId="0" borderId="0" xfId="28" applyFont="1" applyAlignment="1">
      <alignment vertical="center"/>
    </xf>
    <xf numFmtId="0" fontId="12" fillId="11" borderId="0" xfId="0" applyFont="1" applyFill="1"/>
    <xf numFmtId="167" fontId="0" fillId="0" borderId="36" xfId="28" applyNumberFormat="1" applyFont="1" applyBorder="1"/>
    <xf numFmtId="0" fontId="33" fillId="0" borderId="0" xfId="0" applyFont="1" applyAlignment="1">
      <alignment horizontal="right" vertical="center"/>
    </xf>
    <xf numFmtId="167" fontId="12" fillId="0" borderId="0" xfId="28" applyNumberFormat="1" applyFont="1" applyAlignment="1">
      <alignment horizontal="right" vertical="center"/>
    </xf>
    <xf numFmtId="185" fontId="12" fillId="0" borderId="0" xfId="28" applyNumberFormat="1" applyFont="1"/>
    <xf numFmtId="172" fontId="12" fillId="0" borderId="0" xfId="1" applyNumberFormat="1" applyFont="1" applyAlignment="1">
      <alignment horizontal="right"/>
    </xf>
    <xf numFmtId="167" fontId="12" fillId="11" borderId="0" xfId="28" applyNumberFormat="1" applyFont="1" applyFill="1" applyAlignment="1">
      <alignment horizontal="right"/>
    </xf>
    <xf numFmtId="0" fontId="12" fillId="0" borderId="36" xfId="0" applyFont="1" applyBorder="1" applyAlignment="1">
      <alignment horizontal="left" vertical="center"/>
    </xf>
    <xf numFmtId="0" fontId="33" fillId="0" borderId="36" xfId="0" applyFont="1" applyBorder="1" applyAlignment="1">
      <alignment horizontal="right" vertical="center"/>
    </xf>
    <xf numFmtId="165" fontId="33" fillId="0" borderId="0" xfId="28" applyFont="1" applyBorder="1" applyAlignment="1">
      <alignment horizontal="right" vertical="center"/>
    </xf>
    <xf numFmtId="167" fontId="12" fillId="0" borderId="0" xfId="28" applyNumberFormat="1" applyFont="1" applyBorder="1" applyAlignment="1">
      <alignment horizontal="right"/>
    </xf>
    <xf numFmtId="166" fontId="33" fillId="0" borderId="0" xfId="0" applyNumberFormat="1" applyFont="1" applyAlignment="1">
      <alignment horizontal="left" vertical="center" indent="1"/>
    </xf>
    <xf numFmtId="3" fontId="33" fillId="0" borderId="0" xfId="0" applyNumberFormat="1" applyFont="1" applyAlignment="1">
      <alignment horizontal="right" vertical="center"/>
    </xf>
    <xf numFmtId="167" fontId="33" fillId="0" borderId="0" xfId="28" applyNumberFormat="1" applyFont="1" applyBorder="1" applyAlignment="1">
      <alignment horizontal="right" vertical="center"/>
    </xf>
    <xf numFmtId="172" fontId="12" fillId="11" borderId="36" xfId="1" applyNumberFormat="1" applyFont="1" applyFill="1" applyBorder="1" applyAlignment="1">
      <alignment horizontal="right"/>
    </xf>
    <xf numFmtId="172" fontId="12" fillId="11" borderId="0" xfId="1" applyNumberFormat="1" applyFont="1" applyFill="1" applyBorder="1" applyAlignment="1">
      <alignment horizontal="right"/>
    </xf>
    <xf numFmtId="3" fontId="12" fillId="11" borderId="30" xfId="0" applyNumberFormat="1" applyFont="1" applyFill="1" applyBorder="1" applyAlignment="1">
      <alignment horizontal="right" vertical="center"/>
    </xf>
    <xf numFmtId="167" fontId="19" fillId="0" borderId="0" xfId="28" applyNumberFormat="1" applyFont="1" applyBorder="1"/>
    <xf numFmtId="167" fontId="19" fillId="0" borderId="37" xfId="28" applyNumberFormat="1" applyFont="1" applyBorder="1"/>
    <xf numFmtId="167" fontId="0" fillId="0" borderId="37" xfId="28" applyNumberFormat="1" applyFont="1" applyBorder="1"/>
    <xf numFmtId="172" fontId="0" fillId="11" borderId="0" xfId="1" applyNumberFormat="1" applyFont="1" applyFill="1"/>
    <xf numFmtId="172" fontId="0" fillId="11" borderId="37" xfId="1" applyNumberFormat="1" applyFont="1" applyFill="1" applyBorder="1"/>
    <xf numFmtId="172" fontId="33" fillId="11" borderId="0" xfId="1" applyNumberFormat="1" applyFont="1" applyFill="1" applyAlignment="1">
      <alignment horizontal="right" vertical="center"/>
    </xf>
    <xf numFmtId="172" fontId="33" fillId="11" borderId="36" xfId="1" applyNumberFormat="1" applyFont="1" applyFill="1" applyBorder="1" applyAlignment="1">
      <alignment horizontal="right" vertical="center"/>
    </xf>
    <xf numFmtId="172" fontId="33" fillId="0" borderId="0" xfId="1" applyNumberFormat="1" applyFont="1" applyAlignment="1">
      <alignment horizontal="right" vertical="center"/>
    </xf>
    <xf numFmtId="172" fontId="20" fillId="21" borderId="0" xfId="1" applyNumberFormat="1" applyFont="1" applyFill="1" applyAlignment="1">
      <alignment horizontal="left" vertical="center"/>
    </xf>
    <xf numFmtId="172" fontId="33" fillId="11" borderId="26" xfId="1" applyNumberFormat="1" applyFont="1" applyFill="1" applyBorder="1" applyAlignment="1">
      <alignment horizontal="right" vertical="center"/>
    </xf>
    <xf numFmtId="172" fontId="0" fillId="11" borderId="36" xfId="1" applyNumberFormat="1" applyFont="1" applyFill="1" applyBorder="1"/>
    <xf numFmtId="172" fontId="12" fillId="11" borderId="0" xfId="1" applyNumberFormat="1" applyFont="1" applyFill="1" applyAlignment="1">
      <alignment horizontal="right" vertical="center"/>
    </xf>
    <xf numFmtId="172" fontId="72" fillId="11" borderId="0" xfId="1" applyNumberFormat="1" applyFont="1" applyFill="1" applyAlignment="1">
      <alignment horizontal="right" vertical="center"/>
    </xf>
    <xf numFmtId="172" fontId="72" fillId="11" borderId="27" xfId="1" applyNumberFormat="1" applyFont="1" applyFill="1" applyBorder="1" applyAlignment="1">
      <alignment horizontal="right" vertical="center"/>
    </xf>
    <xf numFmtId="0" fontId="33" fillId="11" borderId="0" xfId="0" applyFont="1" applyFill="1" applyAlignment="1">
      <alignment horizontal="right" vertical="center"/>
    </xf>
    <xf numFmtId="165" fontId="72" fillId="0" borderId="37" xfId="28" applyFont="1" applyBorder="1" applyAlignment="1">
      <alignment vertical="center"/>
    </xf>
    <xf numFmtId="0" fontId="72" fillId="0" borderId="37" xfId="0" applyFont="1" applyBorder="1" applyAlignment="1">
      <alignment horizontal="right" vertical="center"/>
    </xf>
    <xf numFmtId="167" fontId="72" fillId="0" borderId="37" xfId="28" applyNumberFormat="1" applyFont="1" applyFill="1" applyBorder="1" applyAlignment="1">
      <alignment horizontal="right" vertical="center"/>
    </xf>
    <xf numFmtId="172" fontId="72" fillId="11" borderId="37" xfId="1" applyNumberFormat="1" applyFont="1" applyFill="1" applyBorder="1" applyAlignment="1">
      <alignment horizontal="right" vertical="center"/>
    </xf>
    <xf numFmtId="167" fontId="0" fillId="0" borderId="0" xfId="28" applyNumberFormat="1" applyFont="1" applyBorder="1"/>
    <xf numFmtId="0" fontId="78" fillId="0" borderId="0" xfId="0" applyFont="1"/>
    <xf numFmtId="0" fontId="33" fillId="0" borderId="37" xfId="0" applyFont="1" applyBorder="1" applyAlignment="1">
      <alignment horizontal="right" vertical="center"/>
    </xf>
    <xf numFmtId="172" fontId="33" fillId="11" borderId="37" xfId="1" applyNumberFormat="1" applyFont="1" applyFill="1" applyBorder="1" applyAlignment="1">
      <alignment horizontal="right" vertical="center"/>
    </xf>
    <xf numFmtId="165" fontId="33" fillId="0" borderId="37" xfId="28" applyFont="1" applyBorder="1" applyAlignment="1">
      <alignment horizontal="right" vertical="center"/>
    </xf>
    <xf numFmtId="167" fontId="12" fillId="0" borderId="0" xfId="0" applyNumberFormat="1" applyFont="1" applyAlignment="1">
      <alignment horizontal="right" vertical="center"/>
    </xf>
    <xf numFmtId="0" fontId="33" fillId="0" borderId="38" xfId="0" applyFont="1" applyBorder="1" applyAlignment="1">
      <alignment horizontal="left" vertical="center"/>
    </xf>
    <xf numFmtId="0" fontId="33" fillId="0" borderId="38" xfId="0" applyFont="1" applyBorder="1" applyAlignment="1">
      <alignment horizontal="right" vertical="center"/>
    </xf>
    <xf numFmtId="172" fontId="33" fillId="11" borderId="38" xfId="1" applyNumberFormat="1" applyFont="1" applyFill="1" applyBorder="1" applyAlignment="1">
      <alignment horizontal="right" vertical="center"/>
    </xf>
    <xf numFmtId="0" fontId="64" fillId="0" borderId="0" xfId="0" applyFont="1"/>
    <xf numFmtId="167" fontId="19" fillId="0" borderId="0" xfId="28" applyNumberFormat="1" applyFont="1" applyFill="1"/>
    <xf numFmtId="172" fontId="12" fillId="5" borderId="39" xfId="1" applyNumberFormat="1" applyFont="1" applyFill="1" applyBorder="1" applyAlignment="1" applyProtection="1">
      <alignment horizontal="center"/>
      <protection locked="0"/>
    </xf>
    <xf numFmtId="172" fontId="12" fillId="5" borderId="1" xfId="1" applyNumberFormat="1" applyFont="1" applyFill="1" applyBorder="1" applyAlignment="1" applyProtection="1">
      <alignment horizontal="center"/>
      <protection locked="0"/>
    </xf>
    <xf numFmtId="172" fontId="12" fillId="5" borderId="34" xfId="1" applyNumberFormat="1" applyFont="1" applyFill="1" applyBorder="1" applyAlignment="1" applyProtection="1">
      <alignment horizontal="center"/>
      <protection locked="0"/>
    </xf>
    <xf numFmtId="167" fontId="33" fillId="0" borderId="37" xfId="28" applyNumberFormat="1" applyFont="1" applyBorder="1" applyAlignment="1">
      <alignment horizontal="right" vertical="center"/>
    </xf>
    <xf numFmtId="0" fontId="12" fillId="22" borderId="5" xfId="11" applyFont="1" applyFill="1" applyAlignment="1" applyProtection="1">
      <alignment horizontal="center"/>
      <protection locked="0"/>
    </xf>
    <xf numFmtId="0" fontId="12" fillId="23" borderId="1" xfId="4" applyNumberFormat="1" applyFont="1" applyFill="1" applyAlignment="1" applyProtection="1">
      <alignment horizontal="right"/>
      <protection locked="0"/>
    </xf>
    <xf numFmtId="15" fontId="12" fillId="22" borderId="5" xfId="11" applyNumberFormat="1" applyFont="1" applyFill="1" applyAlignment="1" applyProtection="1">
      <alignment horizontal="center"/>
      <protection locked="0"/>
    </xf>
    <xf numFmtId="0" fontId="36" fillId="0" borderId="0" xfId="10" applyFont="1" applyBorder="1" applyProtection="1">
      <protection locked="0"/>
    </xf>
    <xf numFmtId="0" fontId="33" fillId="15" borderId="26" xfId="0" applyFont="1" applyFill="1" applyBorder="1" applyAlignment="1">
      <alignment horizontal="right" vertical="center"/>
    </xf>
    <xf numFmtId="167" fontId="12" fillId="14" borderId="0" xfId="28" applyNumberFormat="1" applyFont="1" applyFill="1" applyAlignment="1">
      <alignment horizontal="right"/>
    </xf>
    <xf numFmtId="0" fontId="80" fillId="21" borderId="0" xfId="0" applyFont="1" applyFill="1" applyAlignment="1">
      <alignment horizontal="left" vertical="center"/>
    </xf>
    <xf numFmtId="0" fontId="81" fillId="0" borderId="0" xfId="0" applyFont="1"/>
    <xf numFmtId="9" fontId="81" fillId="0" borderId="0" xfId="0" applyNumberFormat="1" applyFont="1"/>
    <xf numFmtId="167" fontId="76" fillId="0" borderId="0" xfId="28" applyNumberFormat="1" applyFont="1"/>
    <xf numFmtId="0" fontId="82" fillId="19" borderId="0" xfId="0" applyFont="1" applyFill="1"/>
    <xf numFmtId="0" fontId="82" fillId="19" borderId="0" xfId="0" applyFont="1" applyFill="1" applyAlignment="1">
      <alignment horizontal="right"/>
    </xf>
    <xf numFmtId="9" fontId="76" fillId="0" borderId="0" xfId="1" applyFont="1"/>
    <xf numFmtId="0" fontId="82" fillId="19" borderId="0" xfId="0" applyFont="1" applyFill="1" applyAlignment="1">
      <alignment wrapText="1"/>
    </xf>
    <xf numFmtId="167" fontId="75" fillId="0" borderId="0" xfId="0" applyNumberFormat="1" applyFont="1"/>
    <xf numFmtId="9" fontId="75" fillId="0" borderId="0" xfId="1" applyFont="1"/>
    <xf numFmtId="0" fontId="82" fillId="19" borderId="0" xfId="0" applyFont="1" applyFill="1" applyAlignment="1">
      <alignment horizontal="right" wrapText="1"/>
    </xf>
    <xf numFmtId="0" fontId="83" fillId="15" borderId="0" xfId="0" applyFont="1" applyFill="1"/>
    <xf numFmtId="167" fontId="83" fillId="15" borderId="0" xfId="28" applyNumberFormat="1" applyFont="1" applyFill="1"/>
    <xf numFmtId="9" fontId="83" fillId="15" borderId="0" xfId="1" applyFont="1" applyFill="1"/>
    <xf numFmtId="185" fontId="76" fillId="0" borderId="0" xfId="1" applyNumberFormat="1" applyFont="1"/>
    <xf numFmtId="185" fontId="83" fillId="15" borderId="0" xfId="1" applyNumberFormat="1" applyFont="1" applyFill="1"/>
    <xf numFmtId="185" fontId="21" fillId="0" borderId="0" xfId="1" applyNumberFormat="1" applyFont="1" applyFill="1" applyAlignment="1" applyProtection="1">
      <alignment horizontal="center" vertical="center"/>
      <protection locked="0"/>
    </xf>
    <xf numFmtId="185" fontId="21" fillId="0" borderId="0" xfId="1" applyNumberFormat="1" applyFont="1" applyFill="1" applyBorder="1" applyAlignment="1" applyProtection="1">
      <alignment horizontal="center" vertical="center"/>
      <protection locked="0"/>
    </xf>
    <xf numFmtId="185" fontId="21" fillId="0" borderId="18" xfId="1" applyNumberFormat="1" applyFont="1" applyFill="1" applyBorder="1" applyAlignment="1" applyProtection="1">
      <alignment horizontal="center" vertical="center"/>
      <protection locked="0"/>
    </xf>
    <xf numFmtId="185" fontId="0" fillId="0" borderId="0" xfId="0" applyNumberFormat="1" applyProtection="1">
      <protection locked="0"/>
    </xf>
    <xf numFmtId="185" fontId="45" fillId="0" borderId="0" xfId="1" applyNumberFormat="1" applyFont="1" applyBorder="1" applyAlignment="1" applyProtection="1">
      <alignment horizontal="center" vertical="center"/>
      <protection locked="0"/>
    </xf>
    <xf numFmtId="0" fontId="19" fillId="0" borderId="0" xfId="0" applyFont="1" applyAlignment="1" applyProtection="1">
      <alignment horizontal="right" indent="1"/>
      <protection locked="0"/>
    </xf>
    <xf numFmtId="0" fontId="19" fillId="0" borderId="0" xfId="0" applyFont="1" applyProtection="1">
      <protection locked="0"/>
    </xf>
    <xf numFmtId="185" fontId="19" fillId="0" borderId="0" xfId="0" applyNumberFormat="1" applyFont="1" applyProtection="1">
      <protection locked="0"/>
    </xf>
    <xf numFmtId="185" fontId="75" fillId="0" borderId="0" xfId="1" applyNumberFormat="1" applyFont="1"/>
    <xf numFmtId="0" fontId="12" fillId="0" borderId="38" xfId="0" applyFont="1" applyBorder="1" applyAlignment="1">
      <alignment horizontal="left" vertical="center"/>
    </xf>
    <xf numFmtId="167" fontId="0" fillId="0" borderId="40" xfId="28" applyNumberFormat="1" applyFont="1" applyFill="1" applyBorder="1"/>
    <xf numFmtId="167" fontId="0" fillId="0" borderId="40" xfId="28" applyNumberFormat="1" applyFont="1" applyBorder="1"/>
    <xf numFmtId="167" fontId="4" fillId="5" borderId="1" xfId="28" applyNumberFormat="1" applyFont="1" applyFill="1" applyBorder="1"/>
    <xf numFmtId="166" fontId="84" fillId="0" borderId="0" xfId="0" applyNumberFormat="1" applyFont="1" applyAlignment="1">
      <alignment horizontal="left"/>
    </xf>
    <xf numFmtId="169" fontId="29" fillId="0" borderId="0" xfId="16">
      <alignment horizontal="center"/>
    </xf>
    <xf numFmtId="9" fontId="85" fillId="0" borderId="0" xfId="1" applyFont="1" applyFill="1" applyAlignment="1">
      <alignment horizontal="right"/>
    </xf>
    <xf numFmtId="166" fontId="64" fillId="0" borderId="0" xfId="0" applyNumberFormat="1" applyFont="1" applyAlignment="1">
      <alignment horizontal="left"/>
    </xf>
    <xf numFmtId="166" fontId="12" fillId="0" borderId="0" xfId="0" applyNumberFormat="1" applyFont="1" applyAlignment="1">
      <alignment horizontal="left"/>
    </xf>
    <xf numFmtId="0" fontId="0" fillId="0" borderId="36" xfId="0" applyBorder="1"/>
    <xf numFmtId="0" fontId="0" fillId="0" borderId="37" xfId="0" applyBorder="1"/>
    <xf numFmtId="0" fontId="85" fillId="0" borderId="0" xfId="0" applyFont="1" applyAlignment="1">
      <alignment horizontal="right"/>
    </xf>
    <xf numFmtId="166" fontId="0" fillId="0" borderId="0" xfId="0" applyNumberFormat="1"/>
    <xf numFmtId="172" fontId="50" fillId="0" borderId="0" xfId="1" applyNumberFormat="1" applyFont="1" applyAlignment="1">
      <alignment horizontal="right"/>
    </xf>
    <xf numFmtId="0" fontId="0" fillId="0" borderId="40" xfId="0" applyBorder="1"/>
    <xf numFmtId="166" fontId="0" fillId="0" borderId="0" xfId="0" applyNumberFormat="1" applyAlignment="1">
      <alignment horizontal="left" indent="1"/>
    </xf>
    <xf numFmtId="167" fontId="12" fillId="15" borderId="0" xfId="28" applyNumberFormat="1" applyFont="1" applyFill="1" applyAlignment="1">
      <alignment horizontal="left" vertical="center" indent="2"/>
    </xf>
    <xf numFmtId="167" fontId="0" fillId="15" borderId="0" xfId="28" applyNumberFormat="1" applyFont="1" applyFill="1"/>
    <xf numFmtId="9" fontId="0" fillId="15" borderId="0" xfId="1" applyFont="1" applyFill="1"/>
    <xf numFmtId="0" fontId="12" fillId="0" borderId="0" xfId="3" applyFont="1" applyProtection="1">
      <protection locked="0"/>
    </xf>
    <xf numFmtId="185" fontId="12" fillId="0" borderId="38" xfId="28" applyNumberFormat="1" applyFont="1" applyBorder="1" applyAlignment="1">
      <alignment horizontal="right" vertical="center"/>
    </xf>
    <xf numFmtId="0" fontId="86" fillId="0" borderId="23" xfId="0" applyFont="1" applyBorder="1"/>
    <xf numFmtId="172" fontId="86" fillId="0" borderId="23" xfId="1" applyNumberFormat="1" applyFont="1" applyBorder="1"/>
    <xf numFmtId="172" fontId="86" fillId="15" borderId="23" xfId="1" applyNumberFormat="1" applyFont="1" applyFill="1" applyBorder="1"/>
    <xf numFmtId="0" fontId="86" fillId="0" borderId="13" xfId="0" applyFont="1" applyBorder="1"/>
    <xf numFmtId="185" fontId="49" fillId="0" borderId="13" xfId="1" applyNumberFormat="1" applyFont="1" applyBorder="1"/>
    <xf numFmtId="185" fontId="49" fillId="15" borderId="13" xfId="1" applyNumberFormat="1" applyFont="1" applyFill="1" applyBorder="1"/>
    <xf numFmtId="0" fontId="86" fillId="0" borderId="0" xfId="0" applyFont="1"/>
    <xf numFmtId="172" fontId="86" fillId="0" borderId="0" xfId="1" applyNumberFormat="1" applyFont="1" applyBorder="1"/>
    <xf numFmtId="172" fontId="86" fillId="15" borderId="0" xfId="1" applyNumberFormat="1" applyFont="1" applyFill="1" applyBorder="1"/>
    <xf numFmtId="0" fontId="86" fillId="0" borderId="41" xfId="0" applyFont="1" applyBorder="1"/>
    <xf numFmtId="172" fontId="86" fillId="0" borderId="41" xfId="1" applyNumberFormat="1" applyFont="1" applyBorder="1"/>
    <xf numFmtId="172" fontId="86" fillId="15" borderId="41" xfId="1" applyNumberFormat="1" applyFont="1" applyFill="1" applyBorder="1"/>
    <xf numFmtId="167" fontId="86" fillId="0" borderId="41" xfId="28" applyNumberFormat="1" applyFont="1" applyBorder="1"/>
    <xf numFmtId="167" fontId="86" fillId="0" borderId="0" xfId="28" applyNumberFormat="1" applyFont="1" applyBorder="1"/>
    <xf numFmtId="172" fontId="86" fillId="0" borderId="13" xfId="1" applyNumberFormat="1" applyFont="1" applyBorder="1"/>
    <xf numFmtId="172" fontId="86" fillId="15" borderId="13" xfId="1" applyNumberFormat="1" applyFont="1" applyFill="1" applyBorder="1"/>
    <xf numFmtId="167" fontId="86" fillId="15" borderId="41" xfId="28" applyNumberFormat="1" applyFont="1" applyFill="1" applyBorder="1"/>
    <xf numFmtId="167" fontId="86" fillId="15" borderId="0" xfId="28" applyNumberFormat="1" applyFont="1" applyFill="1" applyBorder="1"/>
    <xf numFmtId="167" fontId="33" fillId="11" borderId="0" xfId="28" applyNumberFormat="1" applyFont="1" applyFill="1" applyAlignment="1">
      <alignment horizontal="right"/>
    </xf>
    <xf numFmtId="172" fontId="33" fillId="15" borderId="0" xfId="1" applyNumberFormat="1" applyFont="1" applyFill="1" applyAlignment="1">
      <alignment horizontal="left" vertical="center" indent="2"/>
    </xf>
    <xf numFmtId="172" fontId="87" fillId="15" borderId="23" xfId="1" applyNumberFormat="1" applyFont="1" applyFill="1" applyBorder="1"/>
    <xf numFmtId="167" fontId="33" fillId="15" borderId="0" xfId="28" applyNumberFormat="1" applyFont="1" applyFill="1" applyAlignment="1">
      <alignment horizontal="left" vertical="center" indent="2"/>
    </xf>
    <xf numFmtId="167" fontId="19" fillId="15" borderId="0" xfId="28" applyNumberFormat="1" applyFont="1" applyFill="1"/>
    <xf numFmtId="172" fontId="87" fillId="15" borderId="41" xfId="1" applyNumberFormat="1" applyFont="1" applyFill="1" applyBorder="1"/>
    <xf numFmtId="185" fontId="45" fillId="15" borderId="13" xfId="1" applyNumberFormat="1" applyFont="1" applyFill="1" applyBorder="1"/>
    <xf numFmtId="9" fontId="19" fillId="15" borderId="0" xfId="1" applyFont="1" applyFill="1"/>
    <xf numFmtId="167" fontId="87" fillId="15" borderId="41" xfId="28" applyNumberFormat="1" applyFont="1" applyFill="1" applyBorder="1"/>
    <xf numFmtId="167" fontId="87" fillId="15" borderId="0" xfId="28" applyNumberFormat="1" applyFont="1" applyFill="1" applyBorder="1"/>
    <xf numFmtId="172" fontId="87" fillId="15" borderId="0" xfId="1" applyNumberFormat="1" applyFont="1" applyFill="1" applyBorder="1"/>
    <xf numFmtId="1" fontId="19" fillId="14" borderId="42" xfId="28" applyNumberFormat="1" applyFont="1" applyFill="1" applyBorder="1" applyAlignment="1">
      <alignment horizontal="center"/>
    </xf>
    <xf numFmtId="0" fontId="33" fillId="0" borderId="37" xfId="0" applyFont="1" applyBorder="1" applyAlignment="1">
      <alignment horizontal="left" vertical="center"/>
    </xf>
    <xf numFmtId="167" fontId="12" fillId="5" borderId="0" xfId="28" applyNumberFormat="1" applyFont="1" applyFill="1" applyAlignment="1">
      <alignment horizontal="left" vertical="center" indent="2"/>
    </xf>
    <xf numFmtId="167" fontId="12" fillId="5" borderId="0" xfId="28" applyNumberFormat="1" applyFont="1" applyFill="1" applyAlignment="1">
      <alignment horizontal="right" vertical="center"/>
    </xf>
    <xf numFmtId="167" fontId="0" fillId="5" borderId="0" xfId="28" applyNumberFormat="1" applyFont="1" applyFill="1"/>
    <xf numFmtId="167" fontId="0" fillId="5" borderId="0" xfId="28" applyNumberFormat="1" applyFont="1" applyFill="1" applyBorder="1"/>
    <xf numFmtId="167" fontId="30" fillId="5" borderId="0" xfId="28" applyNumberFormat="1" applyFont="1" applyFill="1" applyAlignment="1">
      <alignment horizontal="left" vertical="center" indent="1"/>
    </xf>
    <xf numFmtId="172" fontId="12" fillId="5" borderId="0" xfId="19" applyNumberFormat="1" applyFont="1" applyFill="1" applyAlignment="1">
      <alignment horizontal="right"/>
    </xf>
    <xf numFmtId="165" fontId="19" fillId="0" borderId="0" xfId="28" applyFont="1"/>
    <xf numFmtId="9" fontId="12" fillId="0" borderId="0" xfId="1" applyFont="1" applyFill="1" applyAlignment="1">
      <alignment horizontal="right" vertical="center" indent="2"/>
    </xf>
    <xf numFmtId="0" fontId="50" fillId="0" borderId="0" xfId="0" applyFont="1"/>
    <xf numFmtId="0" fontId="40" fillId="26" borderId="0" xfId="0" applyFont="1" applyFill="1"/>
    <xf numFmtId="0" fontId="36" fillId="26" borderId="0" xfId="0" applyFont="1" applyFill="1"/>
    <xf numFmtId="166" fontId="72" fillId="0" borderId="43" xfId="0" applyNumberFormat="1" applyFont="1" applyBorder="1" applyAlignment="1">
      <alignment horizontal="left" vertical="center"/>
    </xf>
    <xf numFmtId="0" fontId="19" fillId="0" borderId="40" xfId="0" applyFont="1" applyBorder="1"/>
    <xf numFmtId="168" fontId="4" fillId="5" borderId="1" xfId="28" applyNumberFormat="1" applyFont="1" applyFill="1" applyBorder="1"/>
    <xf numFmtId="167" fontId="72" fillId="0" borderId="43" xfId="28" applyNumberFormat="1" applyFont="1" applyFill="1" applyBorder="1" applyAlignment="1">
      <alignment horizontal="right" vertical="center"/>
    </xf>
    <xf numFmtId="167" fontId="12" fillId="23" borderId="0" xfId="28" applyNumberFormat="1" applyFont="1" applyFill="1" applyAlignment="1">
      <alignment horizontal="right" vertical="center"/>
    </xf>
    <xf numFmtId="0" fontId="33" fillId="22" borderId="2" xfId="5" applyFont="1" applyFill="1" applyAlignment="1" applyProtection="1">
      <alignment horizontal="center"/>
      <protection locked="0"/>
    </xf>
    <xf numFmtId="167" fontId="12" fillId="0" borderId="0" xfId="28" applyNumberFormat="1" applyFont="1" applyFill="1" applyAlignment="1" applyProtection="1">
      <alignment horizontal="right" vertical="center"/>
      <protection locked="0"/>
    </xf>
    <xf numFmtId="1" fontId="17" fillId="22" borderId="5" xfId="11" applyNumberFormat="1" applyFill="1" applyAlignment="1">
      <alignment horizontal="center"/>
    </xf>
    <xf numFmtId="167" fontId="19" fillId="0" borderId="40" xfId="28" applyNumberFormat="1" applyFont="1" applyFill="1" applyBorder="1"/>
    <xf numFmtId="167" fontId="12" fillId="5" borderId="36" xfId="28" applyNumberFormat="1" applyFont="1" applyFill="1" applyBorder="1" applyAlignment="1">
      <alignment horizontal="right" vertical="center"/>
    </xf>
    <xf numFmtId="0" fontId="4" fillId="5" borderId="31" xfId="4" applyBorder="1" applyAlignment="1">
      <alignment horizontal="left"/>
    </xf>
    <xf numFmtId="0" fontId="4" fillId="5" borderId="32" xfId="4" applyBorder="1" applyAlignment="1">
      <alignment horizontal="left"/>
    </xf>
    <xf numFmtId="0" fontId="4" fillId="5" borderId="33" xfId="4" applyBorder="1" applyAlignment="1">
      <alignment horizontal="left"/>
    </xf>
    <xf numFmtId="0" fontId="20" fillId="21" borderId="0" xfId="21" applyFont="1" applyFill="1" applyAlignment="1">
      <alignment horizontal="center" vertical="center" wrapText="1"/>
    </xf>
    <xf numFmtId="0" fontId="20" fillId="21" borderId="0" xfId="25" applyFont="1" applyFill="1" applyAlignment="1">
      <alignment horizontal="center" vertical="center" wrapText="1"/>
    </xf>
    <xf numFmtId="0" fontId="59" fillId="0" borderId="0" xfId="21" applyFont="1" applyAlignment="1">
      <alignment horizontal="center" vertical="center"/>
    </xf>
    <xf numFmtId="0" fontId="40" fillId="10" borderId="0" xfId="25" applyFont="1" applyFill="1" applyAlignment="1">
      <alignment horizontal="center" vertical="center" wrapText="1"/>
    </xf>
    <xf numFmtId="11" fontId="12" fillId="0" borderId="0" xfId="1" applyNumberFormat="1" applyFont="1" applyFill="1" applyBorder="1" applyAlignment="1">
      <alignment horizontal="right" vertical="center"/>
    </xf>
  </cellXfs>
  <cellStyles count="68">
    <cellStyle name="0,0_x000d__x000a_NA_x000d__x000a_ 2" xfId="40" xr:uid="{38FC63CD-C264-4374-9646-B46FA6DBF1EA}"/>
    <cellStyle name="0.0x" xfId="15" xr:uid="{00000000-0005-0000-0000-000000000000}"/>
    <cellStyle name="Assumption" xfId="9" xr:uid="{00000000-0005-0000-0000-000001000000}"/>
    <cellStyle name="Bloomberg data" xfId="12" xr:uid="{00000000-0005-0000-0000-000002000000}"/>
    <cellStyle name="blp_column_header" xfId="42" xr:uid="{8D52E4AA-3FFC-4144-96CF-A80D2F38FBC0}"/>
    <cellStyle name="Check" xfId="16" xr:uid="{00000000-0005-0000-0000-000003000000}"/>
    <cellStyle name="ColumnHeaderNormal" xfId="49" xr:uid="{779F86FB-C516-4BAF-8BDA-6BEEFCDFF7BA}"/>
    <cellStyle name="Comma" xfId="28" builtinId="3"/>
    <cellStyle name="Comma 13 2 2" xfId="26" xr:uid="{00000000-0005-0000-0000-000005000000}"/>
    <cellStyle name="Comma 13 2 2 2" xfId="35" xr:uid="{C5CE0BFB-0431-4E95-B666-5B8DAAD80642}"/>
    <cellStyle name="Comma 2" xfId="38" xr:uid="{CC8BFA52-8FFB-402E-808D-019CB009D496}"/>
    <cellStyle name="Comma 2 2" xfId="43" xr:uid="{98E6BC94-9354-4BAA-B744-D5E03A4B6E9C}"/>
    <cellStyle name="Comma 2 3" xfId="62" xr:uid="{428506B6-A08B-4E3B-8ED9-B5B69E8BC9CE}"/>
    <cellStyle name="Comma 2 4 2 3" xfId="58" xr:uid="{E960945B-0A36-4F3E-A626-A40D36DC3E89}"/>
    <cellStyle name="Comma 3" xfId="55" xr:uid="{E5A57871-8218-4899-BED7-7F3A2F7C96C8}"/>
    <cellStyle name="Comma 4" xfId="36" xr:uid="{27E862AF-F6FC-4F9B-A8E6-52EBC6517A57}"/>
    <cellStyle name="Currency 2" xfId="44" xr:uid="{396043B5-4C59-465A-82EE-781900CBBD7E}"/>
    <cellStyle name="Currency 4 2 4" xfId="57" xr:uid="{9D16752A-B046-456F-994B-EC891C796CA0}"/>
    <cellStyle name="Date" xfId="13" xr:uid="{00000000-0005-0000-0000-000007000000}"/>
    <cellStyle name="Explanatory Text" xfId="7" builtinId="53" customBuiltin="1"/>
    <cellStyle name="Header0" xfId="30" xr:uid="{00000000-0005-0000-0000-000009000000}"/>
    <cellStyle name="Header1" xfId="27" xr:uid="{00000000-0005-0000-0000-00000A000000}"/>
    <cellStyle name="Heading 1" xfId="3" builtinId="16" customBuiltin="1"/>
    <cellStyle name="Heading 2" xfId="20" builtinId="17"/>
    <cellStyle name="Hyperlink 2" xfId="22" xr:uid="{00000000-0005-0000-0000-00000E000000}"/>
    <cellStyle name="Hyperlink 3" xfId="45" xr:uid="{0718CEB7-B95F-4F0F-BD37-7F6131D07856}"/>
    <cellStyle name="Input" xfId="4" builtinId="20" customBuiltin="1"/>
    <cellStyle name="Input 3" xfId="18" xr:uid="{00000000-0005-0000-0000-000010000000}"/>
    <cellStyle name="Insheet" xfId="10" xr:uid="{00000000-0005-0000-0000-000011000000}"/>
    <cellStyle name="Linked Cell" xfId="6" builtinId="24" customBuiltin="1"/>
    <cellStyle name="Normal" xfId="0" builtinId="0"/>
    <cellStyle name="Normal 10" xfId="63" xr:uid="{A27D952C-BA6A-4799-89FA-5B5B61849D1F}"/>
    <cellStyle name="Normal 162" xfId="60" xr:uid="{79510F2E-A8FA-475C-BB0E-1F27CAC6BFF7}"/>
    <cellStyle name="Normal 2" xfId="21" xr:uid="{00000000-0005-0000-0000-000014000000}"/>
    <cellStyle name="Normal 2 2" xfId="47" xr:uid="{7D1805CC-6E48-462C-8558-FA5BEB237087}"/>
    <cellStyle name="Normal 2 2 2" xfId="61" xr:uid="{58DFBA62-ACBF-4DA0-80FE-0CA0FCEA8F7D}"/>
    <cellStyle name="Normal 2 3" xfId="46" xr:uid="{2535F9DD-4141-43F1-A4B5-F093BADDC265}"/>
    <cellStyle name="Normal 27" xfId="17" xr:uid="{00000000-0005-0000-0000-000015000000}"/>
    <cellStyle name="Normal 3" xfId="32" xr:uid="{3FE146C5-F416-442D-85F1-F3BB5D2CF9A4}"/>
    <cellStyle name="Normal 3 2 2 3" xfId="54" xr:uid="{10000D67-246F-4017-B3DB-0539D1124E84}"/>
    <cellStyle name="Normal 30" xfId="24" xr:uid="{00000000-0005-0000-0000-000016000000}"/>
    <cellStyle name="Normal 4" xfId="37" xr:uid="{17A4796D-4BEE-4819-A6FE-F15E68F6D235}"/>
    <cellStyle name="Normal 4 2_Battery" xfId="25" xr:uid="{00000000-0005-0000-0000-000017000000}"/>
    <cellStyle name="Normal 5" xfId="41" xr:uid="{3E503162-AA01-43D1-856D-4620B4D401B0}"/>
    <cellStyle name="Normal 6" xfId="51" xr:uid="{143CA3C7-D99C-4855-804E-197A29398727}"/>
    <cellStyle name="Normal 7" xfId="52" xr:uid="{708CF002-880F-40AE-A7E8-4B0A8760CADA}"/>
    <cellStyle name="Normal 8" xfId="65" xr:uid="{1CB9D4E3-F08E-4421-B8F1-4AD83A9AD0A2}"/>
    <cellStyle name="Normal 9" xfId="66" xr:uid="{A9E0B6D5-13CA-44E1-9C06-B1807C4F408E}"/>
    <cellStyle name="Offsheet" xfId="11" xr:uid="{00000000-0005-0000-0000-000019000000}"/>
    <cellStyle name="Output" xfId="5" builtinId="21"/>
    <cellStyle name="Per cent" xfId="1" builtinId="5"/>
    <cellStyle name="Percent 2" xfId="23" xr:uid="{00000000-0005-0000-0000-00001C000000}"/>
    <cellStyle name="Percent 2 2 5" xfId="64" xr:uid="{E28FD8DA-2BA1-4A3A-B2AD-DA14BA4CFFD3}"/>
    <cellStyle name="Percent 2 2 9" xfId="56" xr:uid="{EBB72466-F5B9-4CD4-AA77-B2C957890665}"/>
    <cellStyle name="Percent 3" xfId="39" xr:uid="{0FAF4ECB-611D-4665-8E64-768756D61DAE}"/>
    <cellStyle name="Percent 3 2 2 2" xfId="59" xr:uid="{2BF103AF-AE3E-403F-86E7-DD4346DF8613}"/>
    <cellStyle name="Percent 4" xfId="33" xr:uid="{85C4FD75-C4B9-4287-B44C-AC03C2565180}"/>
    <cellStyle name="Percent 5" xfId="19" xr:uid="{00000000-0005-0000-0000-00001D000000}"/>
    <cellStyle name="Percent 6" xfId="48" xr:uid="{BCF3049A-07C3-4852-9D0F-9355FF2E0283}"/>
    <cellStyle name="Percent 7" xfId="67" xr:uid="{7CC9CF98-5EAE-44F9-B897-F5684324C3D9}"/>
    <cellStyle name="Ratio" xfId="31" xr:uid="{00000000-0005-0000-0000-00001E000000}"/>
    <cellStyle name="ShortDate" xfId="53" xr:uid="{2CFAC30B-0B9D-4273-B2FF-590948944816}"/>
    <cellStyle name="Table_Heading" xfId="29" xr:uid="{00000000-0005-0000-0000-00001F000000}"/>
    <cellStyle name="TextNormal" xfId="50" xr:uid="{904C8A15-E643-4D7A-B825-1AC5E5AF22AC}"/>
    <cellStyle name="Title" xfId="2" builtinId="15" customBuiltin="1"/>
    <cellStyle name="Unit" xfId="8" xr:uid="{00000000-0005-0000-0000-000021000000}"/>
    <cellStyle name="Warning Text" xfId="14" builtinId="11"/>
    <cellStyle name="一般 3" xfId="34" xr:uid="{ABA3556B-094B-406D-853F-633D03A07C0A}"/>
  </cellStyles>
  <dxfs count="193">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lor rgb="FF9C0006"/>
      </font>
      <fill>
        <patternFill patternType="none">
          <bgColor auto="1"/>
        </patternFill>
      </fill>
    </dxf>
    <dxf>
      <font>
        <color rgb="FF002060"/>
      </font>
      <fill>
        <patternFill patternType="none">
          <bgColor auto="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b/>
        <i val="0"/>
        <strike val="0"/>
        <color rgb="FF9C0006"/>
      </font>
      <fill>
        <patternFill patternType="none">
          <bgColor auto="1"/>
        </patternFill>
      </fill>
    </dxf>
    <dxf>
      <font>
        <color rgb="FF002060"/>
      </font>
      <fill>
        <patternFill patternType="none">
          <bgColor auto="1"/>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C00000"/>
      </font>
      <fill>
        <patternFill>
          <bgColor rgb="FFFF7C8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C00000"/>
      </font>
      <fill>
        <patternFill>
          <bgColor rgb="FFFF7C80"/>
        </patternFill>
      </fill>
    </dxf>
    <dxf>
      <font>
        <color rgb="FF006100"/>
      </font>
      <fill>
        <patternFill>
          <bgColor rgb="FFC6EFCE"/>
        </patternFill>
      </fill>
    </dxf>
    <dxf>
      <font>
        <color rgb="FFC00000"/>
      </font>
      <fill>
        <patternFill>
          <bgColor rgb="FFFF7C8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
        <color rgb="FF000000"/>
        <name val="Arial"/>
        <scheme val="none"/>
      </font>
      <numFmt numFmtId="13" formatCode="0%"/>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rgb="FF000000"/>
        <name val="Arial"/>
        <scheme val="none"/>
      </font>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numFmt numFmtId="167" formatCode="_(* #,##0_);_(* \(#,##0\);_(* &quot;-&quot;??_);_(@_)"/>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font>
        <b val="0"/>
        <i val="0"/>
        <strike val="0"/>
        <condense val="0"/>
        <extend val="0"/>
        <outline val="0"/>
        <shadow val="0"/>
        <u val="none"/>
        <vertAlign val="baseline"/>
        <sz val="8"/>
        <color rgb="FF000000"/>
        <name val="Arial"/>
        <scheme val="none"/>
      </font>
      <alignment horizontal="left" vertical="center" textRotation="0" wrapText="0" indent="2" justifyLastLine="0" shrinkToFit="0" readingOrder="0"/>
      <protection locked="0" hidden="0"/>
    </dxf>
    <dxf>
      <border outline="0">
        <bottom style="thin">
          <color rgb="FFAA9C8F"/>
        </bottom>
      </border>
    </dxf>
    <dxf>
      <font>
        <b/>
        <i val="0"/>
        <strike val="0"/>
        <condense val="0"/>
        <extend val="0"/>
        <outline val="0"/>
        <shadow val="0"/>
        <u val="none"/>
        <vertAlign val="baseline"/>
        <sz val="8"/>
        <color rgb="FF000000"/>
        <name val="Arial"/>
        <scheme val="none"/>
      </font>
      <alignment horizontal="left" vertical="top" textRotation="0" wrapText="1" indent="0" justifyLastLine="0" shrinkToFit="0" readingOrder="0"/>
      <protection locked="0" hidden="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89" formatCode="#,##0_);[Red]\(#,##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2" formatCode="0.0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outline val="0"/>
        <shadow val="0"/>
        <u val="none"/>
        <vertAlign val="baseline"/>
        <sz val="8"/>
        <color auto="1"/>
        <name val="Arial"/>
        <family val="2"/>
        <scheme val="none"/>
      </font>
      <numFmt numFmtId="168" formatCode="0.0\x"/>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3" formatCode="0%"/>
      <fill>
        <patternFill patternType="none">
          <fgColor indexed="64"/>
          <bgColor indexed="65"/>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167" formatCode="_(* #,##0_);_(* \(#,##0\);_(* &quot;-&quot;??_);_(@_)"/>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dxf>
    <dxf>
      <alignment horizontal="left" vertical="center" textRotation="0" wrapText="0" indent="0" justifyLastLine="0" shrinkToFit="0" readingOrder="0"/>
    </dxf>
    <dxf>
      <font>
        <b val="0"/>
        <i val="0"/>
        <strike val="0"/>
        <condense val="0"/>
        <extend val="0"/>
        <outline val="0"/>
        <shadow val="0"/>
        <u val="none"/>
        <vertAlign val="baseline"/>
        <sz val="8"/>
        <color auto="1"/>
        <name val="Arial"/>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outline val="0"/>
        <shadow val="0"/>
        <u val="none"/>
        <vertAlign val="baseline"/>
        <sz val="8"/>
        <color auto="1"/>
        <name val="Arial"/>
        <family val="2"/>
        <scheme val="none"/>
      </font>
      <alignment horizontal="right" vertical="center" textRotation="0" wrapText="0" indent="0" justifyLastLine="0" shrinkToFit="0" readingOrder="0"/>
    </dxf>
    <dxf>
      <font>
        <b val="0"/>
        <i val="0"/>
        <strike val="0"/>
        <outline val="0"/>
        <shadow val="0"/>
        <u val="none"/>
        <vertAlign val="baseline"/>
        <sz val="8"/>
        <color auto="1"/>
        <name val="Arial"/>
        <family val="2"/>
        <scheme val="none"/>
      </font>
      <alignment horizontal="right" vertical="center" textRotation="0" indent="0" justifyLastLine="0" shrinkToFit="0" readingOrder="0"/>
    </dxf>
    <dxf>
      <fill>
        <patternFill>
          <bgColor theme="0" tint="-4.9989318521683403E-2"/>
        </patternFill>
      </fill>
      <border>
        <bottom style="thin">
          <color auto="1"/>
        </bottom>
      </border>
    </dxf>
  </dxfs>
  <tableStyles count="1" defaultTableStyle="TableStyleMedium2" defaultPivotStyle="PivotStyleLight16">
    <tableStyle name="Mazars" pivot="0" count="1" xr9:uid="{00000000-0011-0000-FFFF-FFFF00000000}">
      <tableStyleElement type="headerRow" dxfId="192"/>
    </tableStyle>
  </tableStyles>
  <colors>
    <mruColors>
      <color rgb="FFFFFFCC"/>
      <color rgb="FFFFFF99"/>
      <color rgb="FF0A1F8F"/>
      <color rgb="FF0000FF"/>
      <color rgb="FF787878"/>
      <color rgb="FF008000"/>
      <color rgb="FF0071CE"/>
      <color rgb="FF990000"/>
      <color rgb="FF6F508D"/>
      <color rgb="FFB9A6C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solidFill>
                <a:latin typeface="Arial" panose="020B0604020202020204" pitchFamily="34" charset="0"/>
                <a:ea typeface="+mn-ea"/>
                <a:cs typeface="Arial" panose="020B0604020202020204" pitchFamily="34" charset="0"/>
              </a:defRPr>
            </a:pPr>
            <a:r>
              <a:rPr lang="en-SG" sz="900" b="1">
                <a:solidFill>
                  <a:schemeClr val="tx1"/>
                </a:solidFill>
              </a:rPr>
              <a:t>Comparable transactions</a:t>
            </a:r>
          </a:p>
          <a:p>
            <a:pPr>
              <a:defRPr sz="900">
                <a:solidFill>
                  <a:schemeClr val="tx1"/>
                </a:solidFill>
              </a:defRPr>
            </a:pPr>
            <a:r>
              <a:rPr lang="en-SG" sz="900">
                <a:solidFill>
                  <a:schemeClr val="tx1"/>
                </a:solidFill>
              </a:rPr>
              <a:t>[Industry]</a:t>
            </a:r>
          </a:p>
        </c:rich>
      </c:tx>
      <c:overlay val="0"/>
      <c:spPr>
        <a:solidFill>
          <a:schemeClr val="bg1"/>
        </a:solidFill>
        <a:ln>
          <a:noFill/>
        </a:ln>
        <a:effectLst/>
      </c:spPr>
      <c:txPr>
        <a:bodyPr rot="0" spcFirstLastPara="1" vertOverflow="ellipsis" vert="horz" wrap="square" anchor="ctr" anchorCtr="1"/>
        <a:lstStyle/>
        <a:p>
          <a:pPr>
            <a:defRPr sz="900" b="0" i="0" u="none" strike="noStrike" kern="1200" spc="0" baseline="0">
              <a:solidFill>
                <a:schemeClr val="tx1"/>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0"/>
          <c:order val="0"/>
          <c:spPr>
            <a:solidFill>
              <a:srgbClr val="79AFD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'C5'!$C$13:$C$26</c:f>
              <c:strCache>
                <c:ptCount val="14"/>
                <c:pt idx="0">
                  <c:v>(Invalid Transaction Id)</c:v>
                </c:pt>
                <c:pt idx="1">
                  <c:v>(Invalid Transaction Id)</c:v>
                </c:pt>
                <c:pt idx="2">
                  <c:v>(Invalid Transaction Id)</c:v>
                </c:pt>
                <c:pt idx="3">
                  <c:v>(Invalid Transaction Id)</c:v>
                </c:pt>
                <c:pt idx="4">
                  <c:v>(Invalid Transaction Id)</c:v>
                </c:pt>
                <c:pt idx="5">
                  <c:v>(Invalid Transaction Id)</c:v>
                </c:pt>
                <c:pt idx="6">
                  <c:v>(Invalid Transaction Id)</c:v>
                </c:pt>
                <c:pt idx="7">
                  <c:v>(Invalid Transaction Id)</c:v>
                </c:pt>
                <c:pt idx="8">
                  <c:v>(Invalid Transaction Id)</c:v>
                </c:pt>
                <c:pt idx="9">
                  <c:v>(Invalid Transaction Id)</c:v>
                </c:pt>
                <c:pt idx="10">
                  <c:v>(Invalid Transaction Id)</c:v>
                </c:pt>
                <c:pt idx="11">
                  <c:v>(Invalid Transaction Id)</c:v>
                </c:pt>
                <c:pt idx="12">
                  <c:v>(Invalid Transaction Id)</c:v>
                </c:pt>
                <c:pt idx="13">
                  <c:v>(Invalid Transaction Id)</c:v>
                </c:pt>
              </c:strCache>
            </c:strRef>
          </c:cat>
          <c:val>
            <c:numRef>
              <c:f>'C5'!$I$13:$I$26</c:f>
              <c:numCache>
                <c:formatCode>0.0\x;\(0.0\x\);\-;@</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1A57-469D-A484-D9B2E04E1604}"/>
            </c:ext>
          </c:extLst>
        </c:ser>
        <c:dLbls>
          <c:showLegendKey val="0"/>
          <c:showVal val="0"/>
          <c:showCatName val="0"/>
          <c:showSerName val="0"/>
          <c:showPercent val="0"/>
          <c:showBubbleSize val="0"/>
        </c:dLbls>
        <c:gapWidth val="100"/>
        <c:axId val="1150567536"/>
        <c:axId val="1150569832"/>
      </c:barChart>
      <c:catAx>
        <c:axId val="11505675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150569832"/>
        <c:crosses val="autoZero"/>
        <c:auto val="1"/>
        <c:lblAlgn val="ctr"/>
        <c:lblOffset val="100"/>
        <c:noMultiLvlLbl val="0"/>
      </c:catAx>
      <c:valAx>
        <c:axId val="1150569832"/>
        <c:scaling>
          <c:orientation val="minMax"/>
        </c:scaling>
        <c:delete val="1"/>
        <c:axPos val="b"/>
        <c:numFmt formatCode="0.0\x;\(0.0\x\);\-;@" sourceLinked="1"/>
        <c:majorTickMark val="none"/>
        <c:minorTickMark val="none"/>
        <c:tickLblPos val="nextTo"/>
        <c:crossAx val="1150567536"/>
        <c:crosses val="autoZero"/>
        <c:crossBetween val="between"/>
      </c:valAx>
      <c:spPr>
        <a:solidFill>
          <a:schemeClr val="bg1"/>
        </a:solidFill>
        <a:ln>
          <a:solidFill>
            <a:schemeClr val="bg1">
              <a:lumMod val="9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95000"/>
        </a:schemeClr>
      </a:solidFill>
      <a:round/>
    </a:ln>
    <a:effectLst/>
  </c:spPr>
  <c:txPr>
    <a:bodyPr/>
    <a:lstStyle/>
    <a:p>
      <a:pPr>
        <a:defRPr sz="800">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SG">
                <a:solidFill>
                  <a:sysClr val="windowText" lastClr="000000"/>
                </a:solidFill>
              </a:rPr>
              <a:t>Cross-check of EV/EBITDA range</a:t>
            </a:r>
          </a:p>
        </c:rich>
      </c:tx>
      <c:overlay val="0"/>
      <c:spPr>
        <a:noFill/>
        <a:ln>
          <a:noFill/>
        </a:ln>
        <a:effectLst/>
      </c:spPr>
      <c:txPr>
        <a:bodyPr rot="0" spcFirstLastPara="1" vertOverflow="ellipsis" vert="horz" wrap="square" anchor="ctr" anchorCtr="1"/>
        <a:lstStyle/>
        <a:p>
          <a:pPr>
            <a:defRPr sz="96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1"/>
          <c:order val="0"/>
          <c:tx>
            <c:strRef>
              <c:f>'C5'!$Q$37</c:f>
              <c:strCache>
                <c:ptCount val="1"/>
                <c:pt idx="0">
                  <c:v>Median</c:v>
                </c:pt>
              </c:strCache>
            </c:strRef>
          </c:tx>
          <c:spPr>
            <a:solidFill>
              <a:srgbClr val="0071CE"/>
            </a:solidFill>
            <a:ln>
              <a:noFill/>
            </a:ln>
            <a:effectLst/>
          </c:spPr>
          <c:invertIfNegative val="0"/>
          <c:dPt>
            <c:idx val="2"/>
            <c:invertIfNegative val="0"/>
            <c:bubble3D val="0"/>
            <c:spPr>
              <a:solidFill>
                <a:srgbClr val="0071CE"/>
              </a:solidFill>
              <a:ln>
                <a:noFill/>
              </a:ln>
              <a:effectLst/>
            </c:spPr>
            <c:extLst>
              <c:ext xmlns:c16="http://schemas.microsoft.com/office/drawing/2014/chart" uri="{C3380CC4-5D6E-409C-BE32-E72D297353CC}">
                <c16:uniqueId val="{00000002-7A0A-42FA-977D-757FE14360CA}"/>
              </c:ext>
            </c:extLst>
          </c:dPt>
          <c:dLbls>
            <c:spPr>
              <a:noFill/>
              <a:ln>
                <a:noFill/>
              </a:ln>
              <a:effectLst/>
            </c:spPr>
            <c:txPr>
              <a:bodyPr rot="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dLblPos val="out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'C5'!$N$38:$N$40</c:f>
              <c:strCache>
                <c:ptCount val="3"/>
                <c:pt idx="0">
                  <c:v>Raw multiples - CoCos</c:v>
                </c:pt>
                <c:pt idx="1">
                  <c:v>Adjusted multiples - CoCos</c:v>
                </c:pt>
                <c:pt idx="2">
                  <c:v>Raw multiples - CoTrans</c:v>
                </c:pt>
              </c:strCache>
            </c:strRef>
          </c:cat>
          <c:val>
            <c:numRef>
              <c:f>'C5'!$Q$38:$Q$40</c:f>
              <c:numCache>
                <c:formatCode>0.0\x</c:formatCode>
                <c:ptCount val="3"/>
                <c:pt idx="0">
                  <c:v>5.1501799999999998</c:v>
                </c:pt>
                <c:pt idx="1">
                  <c:v>0</c:v>
                </c:pt>
                <c:pt idx="2">
                  <c:v>0</c:v>
                </c:pt>
              </c:numCache>
            </c:numRef>
          </c:val>
          <c:extLst>
            <c:ext xmlns:c16="http://schemas.microsoft.com/office/drawing/2014/chart" uri="{C3380CC4-5D6E-409C-BE32-E72D297353CC}">
              <c16:uniqueId val="{00000000-7A0A-42FA-977D-757FE14360CA}"/>
            </c:ext>
          </c:extLst>
        </c:ser>
        <c:ser>
          <c:idx val="0"/>
          <c:order val="1"/>
          <c:tx>
            <c:strRef>
              <c:f>'C5'!$O$37</c:f>
              <c:strCache>
                <c:ptCount val="1"/>
                <c:pt idx="0">
                  <c:v>Min</c:v>
                </c:pt>
              </c:strCache>
            </c:strRef>
          </c:tx>
          <c:spPr>
            <a:solidFill>
              <a:schemeClr val="bg1"/>
            </a:solidFill>
            <a:ln w="12700">
              <a:solidFill>
                <a:schemeClr val="bg1"/>
              </a:solid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dLblPos val="inEnd"/>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'C5'!$N$38:$N$40</c:f>
              <c:strCache>
                <c:ptCount val="3"/>
                <c:pt idx="0">
                  <c:v>Raw multiples - CoCos</c:v>
                </c:pt>
                <c:pt idx="1">
                  <c:v>Adjusted multiples - CoCos</c:v>
                </c:pt>
                <c:pt idx="2">
                  <c:v>Raw multiples - CoTrans</c:v>
                </c:pt>
              </c:strCache>
            </c:strRef>
          </c:cat>
          <c:val>
            <c:numRef>
              <c:f>'C5'!$O$38:$O$40</c:f>
              <c:numCache>
                <c:formatCode>0.0\x</c:formatCode>
                <c:ptCount val="3"/>
                <c:pt idx="0">
                  <c:v>0</c:v>
                </c:pt>
                <c:pt idx="1">
                  <c:v>0</c:v>
                </c:pt>
                <c:pt idx="2">
                  <c:v>0</c:v>
                </c:pt>
              </c:numCache>
            </c:numRef>
          </c:val>
          <c:extLst>
            <c:ext xmlns:c16="http://schemas.microsoft.com/office/drawing/2014/chart" uri="{C3380CC4-5D6E-409C-BE32-E72D297353CC}">
              <c16:uniqueId val="{00000001-7A0A-42FA-977D-757FE14360CA}"/>
            </c:ext>
          </c:extLst>
        </c:ser>
        <c:dLbls>
          <c:showLegendKey val="0"/>
          <c:showVal val="0"/>
          <c:showCatName val="0"/>
          <c:showSerName val="0"/>
          <c:showPercent val="0"/>
          <c:showBubbleSize val="0"/>
        </c:dLbls>
        <c:gapWidth val="150"/>
        <c:overlap val="100"/>
        <c:axId val="871459504"/>
        <c:axId val="169081008"/>
      </c:barChart>
      <c:catAx>
        <c:axId val="87145950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9081008"/>
        <c:crosses val="autoZero"/>
        <c:auto val="1"/>
        <c:lblAlgn val="ctr"/>
        <c:lblOffset val="100"/>
        <c:noMultiLvlLbl val="0"/>
      </c:catAx>
      <c:valAx>
        <c:axId val="169081008"/>
        <c:scaling>
          <c:orientation val="minMax"/>
        </c:scaling>
        <c:delete val="0"/>
        <c:axPos val="b"/>
        <c:numFmt formatCode="0.0\x"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crossAx val="871459504"/>
        <c:crosses val="autoZero"/>
        <c:crossBetween val="between"/>
      </c:valAx>
      <c:spPr>
        <a:solidFill>
          <a:schemeClr val="bg1"/>
        </a:solidFill>
        <a:ln>
          <a:solidFill>
            <a:schemeClr val="bg1">
              <a:lumMod val="9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95000"/>
        </a:schemeClr>
      </a:solidFill>
      <a:round/>
    </a:ln>
    <a:effectLst/>
  </c:spPr>
  <c:txPr>
    <a:bodyPr/>
    <a:lstStyle/>
    <a:p>
      <a:pPr>
        <a:defRPr sz="800">
          <a:solidFill>
            <a:srgbClr val="787878"/>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Revenue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KPI''s'!$B$4</c:f>
              <c:strCache>
                <c:ptCount val="1"/>
                <c:pt idx="0">
                  <c:v>Historical Revenue</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KPI''s'!$C$4:$M$4</c:f>
              <c:numCache>
                <c:formatCode>_(* #,##0_);_(* \(#,##0\);_(*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6B98-4E3D-B144-907466C47651}"/>
            </c:ext>
          </c:extLst>
        </c:ser>
        <c:ser>
          <c:idx val="1"/>
          <c:order val="1"/>
          <c:tx>
            <c:strRef>
              <c:f>'Charts - Target KPI''s'!$B$5</c:f>
              <c:strCache>
                <c:ptCount val="1"/>
                <c:pt idx="0">
                  <c:v>Forecast Revenue</c:v>
                </c:pt>
              </c:strCache>
            </c:strRef>
          </c:tx>
          <c:spPr>
            <a:solidFill>
              <a:srgbClr val="0A1F8F"/>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KPI''s'!$C$5:$X$5</c:f>
              <c:numCache>
                <c:formatCode>_(* #,##0_);_(* \(#,##0\);_(* "-"??_);_(@_)</c:formatCode>
                <c:ptCount val="22"/>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KPI''s'!$B$6</c:f>
              <c:strCache>
                <c:ptCount val="1"/>
                <c:pt idx="0">
                  <c:v>YoY Growth %</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KPI''s'!$C$6:$X$6</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1.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Gross</a:t>
            </a:r>
            <a:r>
              <a:rPr lang="en-SG" sz="1000" baseline="0"/>
              <a:t> Profit</a:t>
            </a:r>
            <a:r>
              <a:rPr lang="en-SG" sz="1000"/>
              <a:t>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KPI''s'!$B$44</c:f>
              <c:strCache>
                <c:ptCount val="1"/>
                <c:pt idx="0">
                  <c:v>Historical Gross Profit</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KPI''s'!$C$43:$X$43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KPI''s'!$C$44:$M$44</c:f>
              <c:numCache>
                <c:formatCode>_(* #,##0_);_(* \(#,##0\);_(*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6B98-4E3D-B144-907466C47651}"/>
            </c:ext>
          </c:extLst>
        </c:ser>
        <c:ser>
          <c:idx val="1"/>
          <c:order val="1"/>
          <c:tx>
            <c:strRef>
              <c:f>'Charts - Target KPI''s'!$B$45</c:f>
              <c:strCache>
                <c:ptCount val="1"/>
                <c:pt idx="0">
                  <c:v>Forecast Gross Profit</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KPI''s'!$C$43:$X$43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KPI''s'!$C$45:$X$45</c:f>
              <c:numCache>
                <c:formatCode>_(* #,##0_);_(* \(#,##0\);_(* "-"??_);_(@_)</c:formatCode>
                <c:ptCount val="22"/>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KPI''s'!$B$46</c:f>
              <c:strCache>
                <c:ptCount val="1"/>
                <c:pt idx="0">
                  <c:v>Gross Margin</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KPI''s'!$C$46:$X$46</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1"/>
          <c:min val="1.0000000000000002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EBITDA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KPI''s'!$B$84</c:f>
              <c:strCache>
                <c:ptCount val="1"/>
                <c:pt idx="0">
                  <c:v>Historical EBITDA</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KPI''s'!$C$84:$M$84</c:f>
              <c:numCache>
                <c:formatCode>_(* #,##0_);_(* \(#,##0\);_(*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6B98-4E3D-B144-907466C47651}"/>
            </c:ext>
          </c:extLst>
        </c:ser>
        <c:ser>
          <c:idx val="1"/>
          <c:order val="1"/>
          <c:tx>
            <c:strRef>
              <c:f>'Charts - Target KPI''s'!$B$85</c:f>
              <c:strCache>
                <c:ptCount val="1"/>
                <c:pt idx="0">
                  <c:v>Forecast EBITDA</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KPI''s'!$C$85:$X$85</c:f>
              <c:numCache>
                <c:formatCode>_(* #,##0_);_(* \(#,##0\);_(* "-"??_);_(@_)</c:formatCode>
                <c:ptCount val="22"/>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KPI''s'!$B$86</c:f>
              <c:strCache>
                <c:ptCount val="1"/>
                <c:pt idx="0">
                  <c:v>EBITDA Margin</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KPI''s'!$C$86:$X$86</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5"/>
          <c:min val="1.0000000000000002E-2"/>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&amp;</a:t>
            </a:r>
            <a:r>
              <a:rPr lang="en-SG" sz="1000" baseline="0"/>
              <a:t> Forecast Net Working Capital </a:t>
            </a:r>
            <a:r>
              <a:rPr lang="en-SG" sz="1000"/>
              <a:t>(</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KPI''s'!$B$126</c:f>
              <c:strCache>
                <c:ptCount val="1"/>
                <c:pt idx="0">
                  <c:v>Historical NWC</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KPI''s'!$C$126:$M$126</c:f>
              <c:numCache>
                <c:formatCode>_(* #,##0_);_(* \(#,##0\);_(*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6B98-4E3D-B144-907466C47651}"/>
            </c:ext>
          </c:extLst>
        </c:ser>
        <c:ser>
          <c:idx val="1"/>
          <c:order val="1"/>
          <c:tx>
            <c:strRef>
              <c:f>'Charts - Target KPI''s'!$B$127</c:f>
              <c:strCache>
                <c:ptCount val="1"/>
                <c:pt idx="0">
                  <c:v>Forecast NWC</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KPI''s'!$C$3:$X$3</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KPI''s'!$C$127:$X$127</c:f>
              <c:numCache>
                <c:formatCode>_(* #,##0_);_(* \(#,##0\);_(* "-"??_);_(@_)</c:formatCode>
                <c:ptCount val="22"/>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KPI''s'!$B$128</c:f>
              <c:strCache>
                <c:ptCount val="1"/>
                <c:pt idx="0">
                  <c:v>NWC / Sales</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KPI''s'!$C$128:$X$128</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8"/>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SG" sz="1000"/>
              <a:t>Historical and Forecast CAPEX (</a:t>
            </a:r>
            <a:r>
              <a:rPr lang="en-SG" sz="1000">
                <a:solidFill>
                  <a:srgbClr val="FF0000"/>
                </a:solidFill>
              </a:rPr>
              <a:t>Currency</a:t>
            </a:r>
            <a:r>
              <a:rPr lang="en-SG" sz="1000" baseline="0">
                <a:solidFill>
                  <a:srgbClr val="FF0000"/>
                </a:solidFill>
              </a:rPr>
              <a:t> + Unit</a:t>
            </a:r>
            <a:r>
              <a:rPr lang="en-SG" sz="1000" baseline="0"/>
              <a:t>)</a:t>
            </a:r>
            <a:endParaRPr lang="en-SG" sz="1000"/>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SG"/>
        </a:p>
      </c:txPr>
    </c:title>
    <c:autoTitleDeleted val="0"/>
    <c:plotArea>
      <c:layout>
        <c:manualLayout>
          <c:layoutTarget val="inner"/>
          <c:xMode val="edge"/>
          <c:yMode val="edge"/>
          <c:x val="5.8843951534352332E-2"/>
          <c:y val="3.5307362574063181E-2"/>
          <c:w val="0.89559592881135719"/>
          <c:h val="0.80749523974814685"/>
        </c:manualLayout>
      </c:layout>
      <c:barChart>
        <c:barDir val="col"/>
        <c:grouping val="clustered"/>
        <c:varyColors val="0"/>
        <c:ser>
          <c:idx val="0"/>
          <c:order val="0"/>
          <c:tx>
            <c:strRef>
              <c:f>'Charts - Target KPI''s'!$B$168</c:f>
              <c:strCache>
                <c:ptCount val="1"/>
                <c:pt idx="0">
                  <c:v>Historical Capex</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KPI''s'!$C$167:$X$167</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KPI''s'!$C$168:$M$168</c:f>
              <c:numCache>
                <c:formatCode>_(* #,##0_);_(* \(#,##0\);_(* "-"??_);_(@_)</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6B98-4E3D-B144-907466C47651}"/>
            </c:ext>
          </c:extLst>
        </c:ser>
        <c:ser>
          <c:idx val="1"/>
          <c:order val="1"/>
          <c:tx>
            <c:strRef>
              <c:f>'Charts - Target KPI''s'!$B$169</c:f>
              <c:strCache>
                <c:ptCount val="1"/>
                <c:pt idx="0">
                  <c:v>Forecast Capex</c:v>
                </c:pt>
              </c:strCache>
            </c:strRef>
          </c:tx>
          <c:spPr>
            <a:solidFill>
              <a:srgbClr val="0A1F8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Target KPI''s'!$C$167:$X$167</c:f>
              <c:strCache>
                <c:ptCount val="22"/>
                <c:pt idx="0">
                  <c:v>FYTE</c:v>
                </c:pt>
                <c:pt idx="1">
                  <c:v>FYTE</c:v>
                </c:pt>
                <c:pt idx="2">
                  <c:v>FYTE</c:v>
                </c:pt>
                <c:pt idx="3">
                  <c:v>FYTE</c:v>
                </c:pt>
                <c:pt idx="4">
                  <c:v>FYTE</c:v>
                </c:pt>
                <c:pt idx="5">
                  <c:v>FYTE</c:v>
                </c:pt>
                <c:pt idx="6">
                  <c:v>FY21</c:v>
                </c:pt>
                <c:pt idx="7">
                  <c:v>FY22</c:v>
                </c:pt>
                <c:pt idx="8">
                  <c:v>FY23</c:v>
                </c:pt>
                <c:pt idx="9">
                  <c:v>FY24</c:v>
                </c:pt>
                <c:pt idx="10">
                  <c:v>FY25</c:v>
                </c:pt>
                <c:pt idx="11">
                  <c:v>FY26F</c:v>
                </c:pt>
                <c:pt idx="12">
                  <c:v>FY27F</c:v>
                </c:pt>
                <c:pt idx="13">
                  <c:v>FY28F</c:v>
                </c:pt>
                <c:pt idx="14">
                  <c:v>FY29F</c:v>
                </c:pt>
                <c:pt idx="15">
                  <c:v>FY30F</c:v>
                </c:pt>
                <c:pt idx="16">
                  <c:v>FYTEF</c:v>
                </c:pt>
                <c:pt idx="17">
                  <c:v>FYTEF</c:v>
                </c:pt>
                <c:pt idx="18">
                  <c:v>FYTEF</c:v>
                </c:pt>
                <c:pt idx="19">
                  <c:v>FYTEF</c:v>
                </c:pt>
                <c:pt idx="20">
                  <c:v>FYTEF</c:v>
                </c:pt>
                <c:pt idx="21">
                  <c:v>FYTEF</c:v>
                </c:pt>
              </c:strCache>
            </c:strRef>
          </c:cat>
          <c:val>
            <c:numRef>
              <c:f>'Charts - Target KPI''s'!$C$169:$X$169</c:f>
              <c:numCache>
                <c:formatCode>_(* #,##0_);_(* \(#,##0\);_(* "-"??_);_(@_)</c:formatCode>
                <c:ptCount val="22"/>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2-6B98-4E3D-B144-907466C47651}"/>
            </c:ext>
          </c:extLst>
        </c:ser>
        <c:dLbls>
          <c:showLegendKey val="0"/>
          <c:showVal val="0"/>
          <c:showCatName val="0"/>
          <c:showSerName val="0"/>
          <c:showPercent val="0"/>
          <c:showBubbleSize val="0"/>
        </c:dLbls>
        <c:gapWidth val="90"/>
        <c:overlap val="95"/>
        <c:axId val="920597311"/>
        <c:axId val="920595391"/>
      </c:barChart>
      <c:lineChart>
        <c:grouping val="standard"/>
        <c:varyColors val="0"/>
        <c:ser>
          <c:idx val="2"/>
          <c:order val="2"/>
          <c:tx>
            <c:strRef>
              <c:f>'Charts - Target KPI''s'!$B$170</c:f>
              <c:strCache>
                <c:ptCount val="1"/>
                <c:pt idx="0">
                  <c:v>Capex / Sales</c:v>
                </c:pt>
              </c:strCache>
            </c:strRef>
          </c:tx>
          <c:spPr>
            <a:ln w="28575" cap="rnd">
              <a:solidFill>
                <a:schemeClr val="accent3"/>
              </a:solidFill>
              <a:round/>
            </a:ln>
            <a:effectLst/>
          </c:spPr>
          <c:marker>
            <c:symbol val="none"/>
          </c:marker>
          <c:dLbls>
            <c:spPr>
              <a:solidFill>
                <a:schemeClr val="bg1"/>
              </a:solidFill>
              <a:ln>
                <a:solidFill>
                  <a:schemeClr val="accent1"/>
                </a:solid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'Charts - Target KPI''s'!$C$170:$X$170</c:f>
              <c:numCache>
                <c:formatCode>0%</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smooth val="0"/>
          <c:extLst>
            <c:ext xmlns:c16="http://schemas.microsoft.com/office/drawing/2014/chart" uri="{C3380CC4-5D6E-409C-BE32-E72D297353CC}">
              <c16:uniqueId val="{00000005-6B98-4E3D-B144-907466C47651}"/>
            </c:ext>
          </c:extLst>
        </c:ser>
        <c:dLbls>
          <c:showLegendKey val="0"/>
          <c:showVal val="0"/>
          <c:showCatName val="0"/>
          <c:showSerName val="0"/>
          <c:showPercent val="0"/>
          <c:showBubbleSize val="0"/>
        </c:dLbls>
        <c:marker val="1"/>
        <c:smooth val="0"/>
        <c:axId val="1004165056"/>
        <c:axId val="1004158336"/>
      </c:lineChart>
      <c:catAx>
        <c:axId val="92059731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5391"/>
        <c:crosses val="autoZero"/>
        <c:auto val="1"/>
        <c:lblAlgn val="ctr"/>
        <c:lblOffset val="100"/>
        <c:noMultiLvlLbl val="0"/>
      </c:catAx>
      <c:valAx>
        <c:axId val="920595391"/>
        <c:scaling>
          <c:orientation val="minMax"/>
        </c:scaling>
        <c:delete val="0"/>
        <c:axPos val="l"/>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20597311"/>
        <c:crosses val="autoZero"/>
        <c:crossBetween val="between"/>
      </c:valAx>
      <c:valAx>
        <c:axId val="1004158336"/>
        <c:scaling>
          <c:orientation val="minMax"/>
          <c:max val="0.8"/>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04165056"/>
        <c:crosses val="max"/>
        <c:crossBetween val="between"/>
      </c:valAx>
      <c:catAx>
        <c:axId val="1004165056"/>
        <c:scaling>
          <c:orientation val="minMax"/>
        </c:scaling>
        <c:delete val="1"/>
        <c:axPos val="b"/>
        <c:majorTickMark val="out"/>
        <c:minorTickMark val="none"/>
        <c:tickLblPos val="nextTo"/>
        <c:crossAx val="1004158336"/>
        <c:crosses val="autoZero"/>
        <c:auto val="1"/>
        <c:lblAlgn val="ctr"/>
        <c:lblOffset val="100"/>
        <c:noMultiLvlLbl val="0"/>
      </c:catAx>
      <c:spPr>
        <a:noFill/>
        <a:ln>
          <a:noFill/>
        </a:ln>
        <a:effectLst/>
      </c:spPr>
    </c:plotArea>
    <c:legend>
      <c:legendPos val="b"/>
      <c:layout>
        <c:manualLayout>
          <c:xMode val="edge"/>
          <c:yMode val="edge"/>
          <c:x val="0.32466836749250433"/>
          <c:y val="0.91915498298130149"/>
          <c:w val="0.32793706488373392"/>
          <c:h val="5.36729509754791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latin typeface="+mn-lt"/>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r>
              <a:rPr lang="en-US" sz="900" b="1" i="0" u="none" strike="noStrike" kern="1200" spc="0" baseline="0">
                <a:solidFill>
                  <a:schemeClr val="tx1"/>
                </a:solidFill>
              </a:rPr>
              <a:t>Size Analysis</a:t>
            </a:r>
          </a:p>
          <a:p>
            <a:pPr>
              <a:defRPr sz="900"/>
            </a:pPr>
            <a:r>
              <a:rPr lang="en-US" sz="900" b="0" i="0" u="none" strike="noStrike" kern="1200" spc="0" baseline="0">
                <a:solidFill>
                  <a:sysClr val="windowText" lastClr="000000">
                    <a:lumMod val="65000"/>
                    <a:lumOff val="35000"/>
                  </a:sysClr>
                </a:solidFill>
              </a:rPr>
              <a:t>Market Cap </a:t>
            </a:r>
            <a:r>
              <a:rPr lang="en-US" sz="900" b="0" i="0" u="none" strike="noStrike" kern="1200" spc="0" baseline="0">
                <a:solidFill>
                  <a:srgbClr val="FF0000"/>
                </a:solidFill>
              </a:rPr>
              <a:t>(Currency + Unit)</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9548468448969401"/>
          <c:y val="0.12134910367007598"/>
          <c:w val="0.66264048389550501"/>
          <c:h val="0.80275202886969121"/>
        </c:manualLayout>
      </c:layout>
      <c:barChart>
        <c:barDir val="bar"/>
        <c:grouping val="clustered"/>
        <c:varyColors val="0"/>
        <c:ser>
          <c:idx val="0"/>
          <c:order val="0"/>
          <c:tx>
            <c:strRef>
              <c:f>'Charts - Peer Analysis'!$D$6</c:f>
              <c:strCache>
                <c:ptCount val="1"/>
                <c:pt idx="0">
                  <c:v>Market Cap</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6BAB-43BC-BCCE-2530DBD18B4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Analysis'!$B$7:$B$16</c:f>
              <c:strCache>
                <c:ptCount val="10"/>
                <c:pt idx="0">
                  <c:v>Netflix</c:v>
                </c:pt>
                <c:pt idx="1">
                  <c:v>Netflix, Inc.</c:v>
                </c:pt>
                <c:pt idx="2">
                  <c:v>Spotify Technology S.A.</c:v>
                </c:pt>
                <c:pt idx="3">
                  <c:v>Roku, Inc.</c:v>
                </c:pt>
                <c:pt idx="4">
                  <c:v>Iqiyi, Inc.</c:v>
                </c:pt>
                <c:pt idx="5">
                  <c:v>Bilibili Inc.</c:v>
                </c:pt>
                <c:pt idx="6">
                  <c:v>The Walt Disney Company</c:v>
                </c:pt>
                <c:pt idx="7">
                  <c:v>Warner Bros. Discovery, Inc.</c:v>
                </c:pt>
                <c:pt idx="8">
                  <c:v>Paramount Skydance Corporation</c:v>
                </c:pt>
                <c:pt idx="9">
                  <c:v>Comcast Corporation</c:v>
                </c:pt>
              </c:strCache>
            </c:strRef>
          </c:cat>
          <c:val>
            <c:numRef>
              <c:f>'Charts - Peer Analysis'!$D$7:$D$16</c:f>
              <c:numCache>
                <c:formatCode>_(* #,##0_);_(* \(#,##0\);_(* "-"??_);_(@_)</c:formatCode>
                <c:ptCount val="10"/>
                <c:pt idx="0">
                  <c:v>0</c:v>
                </c:pt>
                <c:pt idx="1">
                  <c:v>397291.43635999999</c:v>
                </c:pt>
                <c:pt idx="2">
                  <c:v>119674.87065</c:v>
                </c:pt>
                <c:pt idx="3">
                  <c:v>16029.58964</c:v>
                </c:pt>
                <c:pt idx="4">
                  <c:v>1848.8809900000001</c:v>
                </c:pt>
                <c:pt idx="5">
                  <c:v>10174.466570000001</c:v>
                </c:pt>
                <c:pt idx="6">
                  <c:v>203112.31200999999</c:v>
                </c:pt>
                <c:pt idx="7">
                  <c:v>71458.806349999999</c:v>
                </c:pt>
                <c:pt idx="8">
                  <c:v>14706.50117</c:v>
                </c:pt>
                <c:pt idx="9">
                  <c:v>108916.00675</c:v>
                </c:pt>
              </c:numCache>
            </c:numRef>
          </c:val>
          <c:extLst>
            <c:ext xmlns:c16="http://schemas.microsoft.com/office/drawing/2014/chart" uri="{C3380CC4-5D6E-409C-BE32-E72D297353CC}">
              <c16:uniqueId val="{00000002-6BAB-43BC-BCCE-2530DBD18B4E}"/>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_(* #,##0_);_(* \(#,##0\);_(* &quot;-&quot;??_);_(@_)"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Profitability Analysis</a:t>
            </a:r>
          </a:p>
          <a:p>
            <a:pPr>
              <a:defRPr sz="1000"/>
            </a:pPr>
            <a:r>
              <a:rPr lang="en-US" sz="1000" b="0" i="0" u="none" strike="noStrike" kern="1200" spc="0" baseline="0">
                <a:solidFill>
                  <a:sysClr val="windowText" lastClr="000000">
                    <a:lumMod val="65000"/>
                    <a:lumOff val="35000"/>
                  </a:sysClr>
                </a:solidFill>
              </a:rPr>
              <a:t>EBITDA Margin %</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3911570036241546E-2"/>
          <c:y val="0.11045816767947524"/>
          <c:w val="0.94507878969823111"/>
          <c:h val="0.82772348950446162"/>
        </c:manualLayout>
      </c:layout>
      <c:barChart>
        <c:barDir val="bar"/>
        <c:grouping val="clustered"/>
        <c:varyColors val="0"/>
        <c:ser>
          <c:idx val="0"/>
          <c:order val="0"/>
          <c:tx>
            <c:strRef>
              <c:f>'Charts - Peer Analysis'!$J$6</c:f>
              <c:strCache>
                <c:ptCount val="1"/>
                <c:pt idx="0">
                  <c:v>EBIT margin</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81B3-4FC9-9A82-83508E398C3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Analysis'!$H$7:$H$16</c:f>
              <c:strCache>
                <c:ptCount val="10"/>
                <c:pt idx="0">
                  <c:v>Netflix</c:v>
                </c:pt>
                <c:pt idx="1">
                  <c:v>Netflix, Inc.</c:v>
                </c:pt>
                <c:pt idx="2">
                  <c:v>Spotify Technology S.A.</c:v>
                </c:pt>
                <c:pt idx="3">
                  <c:v>Roku, Inc.</c:v>
                </c:pt>
                <c:pt idx="4">
                  <c:v>Iqiyi, Inc.</c:v>
                </c:pt>
                <c:pt idx="5">
                  <c:v>Bilibili Inc.</c:v>
                </c:pt>
                <c:pt idx="6">
                  <c:v>The Walt Disney Company</c:v>
                </c:pt>
                <c:pt idx="7">
                  <c:v>Warner Bros. Discovery, Inc.</c:v>
                </c:pt>
                <c:pt idx="8">
                  <c:v>Paramount Skydance Corporation</c:v>
                </c:pt>
                <c:pt idx="9">
                  <c:v>Comcast Corporation</c:v>
                </c:pt>
              </c:strCache>
            </c:strRef>
          </c:cat>
          <c:val>
            <c:numRef>
              <c:f>'Charts - Peer Analysis'!$J$7:$J$16</c:f>
              <c:numCache>
                <c:formatCode>0%</c:formatCode>
                <c:ptCount val="10"/>
                <c:pt idx="0">
                  <c:v>0</c:v>
                </c:pt>
                <c:pt idx="1">
                  <c:v>0.29494700000000001</c:v>
                </c:pt>
                <c:pt idx="2">
                  <c:v>0.12789400000000001</c:v>
                </c:pt>
                <c:pt idx="3">
                  <c:v>-5.3999999999999998E-5</c:v>
                </c:pt>
                <c:pt idx="4">
                  <c:v>8.4019999999999997E-3</c:v>
                </c:pt>
                <c:pt idx="5">
                  <c:v>3.7052000000000002E-2</c:v>
                </c:pt>
                <c:pt idx="6">
                  <c:v>0.14924999999999999</c:v>
                </c:pt>
                <c:pt idx="7">
                  <c:v>4.4991000000000003E-2</c:v>
                </c:pt>
                <c:pt idx="8">
                  <c:v>6.5313999999999997E-2</c:v>
                </c:pt>
                <c:pt idx="9">
                  <c:v>0.16708799999999999</c:v>
                </c:pt>
              </c:numCache>
            </c:numRef>
          </c:val>
          <c:extLst>
            <c:ext xmlns:c16="http://schemas.microsoft.com/office/drawing/2014/chart" uri="{C3380CC4-5D6E-409C-BE32-E72D297353CC}">
              <c16:uniqueId val="{00000002-81B3-4FC9-9A82-83508E398C32}"/>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Growth Analysis</a:t>
            </a:r>
          </a:p>
          <a:p>
            <a:pPr>
              <a:defRPr sz="1000"/>
            </a:pPr>
            <a:r>
              <a:rPr lang="en-US" sz="1000" b="0" i="0" u="none" strike="noStrike" kern="1200" spc="0" baseline="0">
                <a:solidFill>
                  <a:sysClr val="windowText" lastClr="000000">
                    <a:lumMod val="65000"/>
                    <a:lumOff val="35000"/>
                  </a:sysClr>
                </a:solidFill>
              </a:rPr>
              <a:t>3-Year Sales CAGR %</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3911570036241546E-2"/>
          <c:y val="0.11305038084509932"/>
          <c:w val="0.93938827739529873"/>
          <c:h val="0.82513133780102155"/>
        </c:manualLayout>
      </c:layout>
      <c:barChart>
        <c:barDir val="bar"/>
        <c:grouping val="clustered"/>
        <c:varyColors val="0"/>
        <c:ser>
          <c:idx val="0"/>
          <c:order val="0"/>
          <c:tx>
            <c:strRef>
              <c:f>'Charts - Peer Analysis'!$O$6</c:f>
              <c:strCache>
                <c:ptCount val="1"/>
                <c:pt idx="0">
                  <c:v>3-Year Sales CAGR</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74F5-4F98-B2EF-C3CDA97DBC8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Analysis'!$M$7:$M$16</c:f>
              <c:strCache>
                <c:ptCount val="10"/>
                <c:pt idx="0">
                  <c:v>Netflix</c:v>
                </c:pt>
                <c:pt idx="1">
                  <c:v>Netflix, Inc.</c:v>
                </c:pt>
                <c:pt idx="2">
                  <c:v>Spotify Technology S.A.</c:v>
                </c:pt>
                <c:pt idx="3">
                  <c:v>Roku, Inc.</c:v>
                </c:pt>
                <c:pt idx="4">
                  <c:v>Iqiyi, Inc.</c:v>
                </c:pt>
                <c:pt idx="5">
                  <c:v>Bilibili Inc.</c:v>
                </c:pt>
                <c:pt idx="6">
                  <c:v>The Walt Disney Company</c:v>
                </c:pt>
                <c:pt idx="7">
                  <c:v>Warner Bros. Discovery, Inc.</c:v>
                </c:pt>
                <c:pt idx="8">
                  <c:v>Paramount Skydance Corporation</c:v>
                </c:pt>
                <c:pt idx="9">
                  <c:v>Comcast Corporation</c:v>
                </c:pt>
              </c:strCache>
            </c:strRef>
          </c:cat>
          <c:val>
            <c:numRef>
              <c:f>'Charts - Peer Analysis'!$O$7:$O$16</c:f>
              <c:numCache>
                <c:formatCode>0%</c:formatCode>
                <c:ptCount val="10"/>
                <c:pt idx="0">
                  <c:v>0</c:v>
                </c:pt>
                <c:pt idx="1">
                  <c:v>9.5090843021556015E-2</c:v>
                </c:pt>
                <c:pt idx="2">
                  <c:v>0.13851860760505286</c:v>
                </c:pt>
                <c:pt idx="3">
                  <c:v>0.14157920648083655</c:v>
                </c:pt>
                <c:pt idx="4">
                  <c:v>-5.9290149007727444E-2</c:v>
                </c:pt>
                <c:pt idx="5">
                  <c:v>6.4054184426631799E-2</c:v>
                </c:pt>
                <c:pt idx="6">
                  <c:v>0.10661102641410714</c:v>
                </c:pt>
                <c:pt idx="7">
                  <c:v>0.47750312335367018</c:v>
                </c:pt>
                <c:pt idx="8">
                  <c:v>7.258458559833203E-3</c:v>
                </c:pt>
                <c:pt idx="9">
                  <c:v>2.0611609169991274E-2</c:v>
                </c:pt>
              </c:numCache>
            </c:numRef>
          </c:val>
          <c:extLst>
            <c:ext xmlns:c16="http://schemas.microsoft.com/office/drawing/2014/chart" uri="{C3380CC4-5D6E-409C-BE32-E72D297353CC}">
              <c16:uniqueId val="{00000002-74F5-4F98-B2EF-C3CDA97DBC8B}"/>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r>
              <a:rPr lang="en-US" sz="1000" b="1" i="0" u="none" strike="noStrike" kern="1200" spc="0" baseline="0">
                <a:solidFill>
                  <a:schemeClr val="tx1"/>
                </a:solidFill>
              </a:rPr>
              <a:t>Valuation Analysis</a:t>
            </a:r>
          </a:p>
          <a:p>
            <a:pPr>
              <a:defRPr sz="1000"/>
            </a:pPr>
            <a:r>
              <a:rPr lang="en-US" sz="1000" b="0" i="0" u="none" strike="noStrike" kern="1200" spc="0" baseline="0">
                <a:solidFill>
                  <a:sysClr val="windowText" lastClr="000000">
                    <a:lumMod val="65000"/>
                    <a:lumOff val="35000"/>
                  </a:sysClr>
                </a:solidFill>
              </a:rPr>
              <a:t>EV/EBITDA multiples</a:t>
            </a:r>
            <a:endParaRPr lang="en-US" sz="1000" b="0" i="0" u="none" strike="noStrike" kern="1200" spc="0" baseline="0">
              <a:solidFill>
                <a:srgbClr val="FF0000"/>
              </a:solidFill>
            </a:endParaRP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4809594431774204"/>
          <c:y val="9.4065020475240846E-2"/>
          <c:w val="0.72520391988242938"/>
          <c:h val="0.84411659476164691"/>
        </c:manualLayout>
      </c:layout>
      <c:barChart>
        <c:barDir val="bar"/>
        <c:grouping val="clustered"/>
        <c:varyColors val="0"/>
        <c:ser>
          <c:idx val="0"/>
          <c:order val="0"/>
          <c:tx>
            <c:strRef>
              <c:f>'Charts - Peer Analysis'!$U$6</c:f>
              <c:strCache>
                <c:ptCount val="1"/>
                <c:pt idx="0">
                  <c:v>Selected Multiple</c:v>
                </c:pt>
              </c:strCache>
            </c:strRef>
          </c:tx>
          <c:spPr>
            <a:solidFill>
              <a:schemeClr val="accent1">
                <a:lumMod val="60000"/>
                <a:lumOff val="40000"/>
              </a:schemeClr>
            </a:solidFill>
            <a:ln>
              <a:noFill/>
            </a:ln>
            <a:effectLst/>
          </c:spPr>
          <c:invertIfNegative val="0"/>
          <c:dPt>
            <c:idx val="0"/>
            <c:invertIfNegative val="0"/>
            <c:bubble3D val="0"/>
            <c:spPr>
              <a:solidFill>
                <a:srgbClr val="0A1F8F"/>
              </a:solidFill>
              <a:ln>
                <a:noFill/>
              </a:ln>
              <a:effectLst/>
            </c:spPr>
            <c:extLst>
              <c:ext xmlns:c16="http://schemas.microsoft.com/office/drawing/2014/chart" uri="{C3380CC4-5D6E-409C-BE32-E72D297353CC}">
                <c16:uniqueId val="{00000001-500B-444D-9BB9-5266E77DDEE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 - Peer Analysis'!$S$7:$S$16</c:f>
              <c:strCache>
                <c:ptCount val="10"/>
                <c:pt idx="0">
                  <c:v>Netflix</c:v>
                </c:pt>
                <c:pt idx="1">
                  <c:v>Netflix, Inc.</c:v>
                </c:pt>
                <c:pt idx="2">
                  <c:v>Spotify Technology S.A.</c:v>
                </c:pt>
                <c:pt idx="3">
                  <c:v>Roku, Inc.</c:v>
                </c:pt>
                <c:pt idx="4">
                  <c:v>Iqiyi, Inc.</c:v>
                </c:pt>
                <c:pt idx="5">
                  <c:v>Bilibili Inc.</c:v>
                </c:pt>
                <c:pt idx="6">
                  <c:v>The Walt Disney Company</c:v>
                </c:pt>
                <c:pt idx="7">
                  <c:v>Warner Bros. Discovery, Inc.</c:v>
                </c:pt>
                <c:pt idx="8">
                  <c:v>Paramount Skydance Corporation</c:v>
                </c:pt>
                <c:pt idx="9">
                  <c:v>Comcast Corporation</c:v>
                </c:pt>
              </c:strCache>
            </c:strRef>
          </c:cat>
          <c:val>
            <c:numRef>
              <c:f>'Charts - Peer Analysis'!$U$7:$U$16</c:f>
              <c:numCache>
                <c:formatCode>0.0\ "x"</c:formatCode>
                <c:ptCount val="10"/>
                <c:pt idx="0">
                  <c:v>0</c:v>
                </c:pt>
                <c:pt idx="1">
                  <c:v>29.660789999999999</c:v>
                </c:pt>
                <c:pt idx="2">
                  <c:v>46.520620000000001</c:v>
                </c:pt>
                <c:pt idx="3">
                  <c:v>57.012140000000002</c:v>
                </c:pt>
                <c:pt idx="4">
                  <c:v>2.7371799999999999</c:v>
                </c:pt>
                <c:pt idx="5">
                  <c:v>19.779119999999999</c:v>
                </c:pt>
                <c:pt idx="6">
                  <c:v>11.781829999999999</c:v>
                </c:pt>
                <c:pt idx="7">
                  <c:v>12.459160000000001</c:v>
                </c:pt>
                <c:pt idx="8">
                  <c:v>11.41535</c:v>
                </c:pt>
                <c:pt idx="9">
                  <c:v>5.1501799999999998</c:v>
                </c:pt>
              </c:numCache>
            </c:numRef>
          </c:val>
          <c:extLst>
            <c:ext xmlns:c16="http://schemas.microsoft.com/office/drawing/2014/chart" uri="{C3380CC4-5D6E-409C-BE32-E72D297353CC}">
              <c16:uniqueId val="{00000002-500B-444D-9BB9-5266E77DDEE8}"/>
            </c:ext>
          </c:extLst>
        </c:ser>
        <c:dLbls>
          <c:showLegendKey val="0"/>
          <c:showVal val="0"/>
          <c:showCatName val="0"/>
          <c:showSerName val="0"/>
          <c:showPercent val="0"/>
          <c:showBubbleSize val="0"/>
        </c:dLbls>
        <c:gapWidth val="65"/>
        <c:overlap val="90"/>
        <c:axId val="1152708576"/>
        <c:axId val="1152706656"/>
      </c:barChart>
      <c:catAx>
        <c:axId val="115270857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52706656"/>
        <c:crosses val="autoZero"/>
        <c:auto val="1"/>
        <c:lblAlgn val="ctr"/>
        <c:lblOffset val="100"/>
        <c:noMultiLvlLbl val="0"/>
      </c:catAx>
      <c:valAx>
        <c:axId val="1152706656"/>
        <c:scaling>
          <c:orientation val="minMax"/>
        </c:scaling>
        <c:delete val="1"/>
        <c:axPos val="b"/>
        <c:numFmt formatCode="0.0\ &quot;x&quot;" sourceLinked="1"/>
        <c:majorTickMark val="none"/>
        <c:minorTickMark val="none"/>
        <c:tickLblPos val="nextTo"/>
        <c:crossAx val="11527085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900" b="0" i="0" u="none" strike="noStrike" kern="1200" spc="0" baseline="0">
                <a:solidFill>
                  <a:srgbClr val="787878"/>
                </a:solidFill>
                <a:latin typeface="Arial" panose="020B0604020202020204" pitchFamily="34" charset="0"/>
                <a:ea typeface="+mn-ea"/>
                <a:cs typeface="Arial" panose="020B0604020202020204" pitchFamily="34" charset="0"/>
              </a:defRPr>
            </a:pPr>
            <a:r>
              <a:rPr lang="en-SG" sz="900" b="1" i="0" baseline="0">
                <a:solidFill>
                  <a:srgbClr val="787878"/>
                </a:solidFill>
                <a:effectLst/>
              </a:rPr>
              <a:t>Small Capitalisation Premium</a:t>
            </a:r>
            <a:endParaRPr lang="en-SG" sz="900">
              <a:solidFill>
                <a:srgbClr val="787878"/>
              </a:solidFill>
              <a:effectLst/>
            </a:endParaRPr>
          </a:p>
          <a:p>
            <a:pPr algn="l">
              <a:defRPr sz="900">
                <a:solidFill>
                  <a:srgbClr val="787878"/>
                </a:solidFill>
              </a:defRPr>
            </a:pPr>
            <a:r>
              <a:rPr lang="en-SG" sz="900" b="0" i="0" baseline="0">
                <a:solidFill>
                  <a:srgbClr val="787878"/>
                </a:solidFill>
                <a:effectLst/>
              </a:rPr>
              <a:t>Long term returns in excess of theoretical equity return premium </a:t>
            </a:r>
            <a:endParaRPr lang="en-SG" sz="900">
              <a:solidFill>
                <a:srgbClr val="787878"/>
              </a:solidFill>
              <a:effectLst/>
            </a:endParaRPr>
          </a:p>
        </c:rich>
      </c:tx>
      <c:overlay val="0"/>
      <c:spPr>
        <a:noFill/>
        <a:ln>
          <a:noFill/>
        </a:ln>
        <a:effectLst/>
      </c:spPr>
      <c:txPr>
        <a:bodyPr rot="0" spcFirstLastPara="1" vertOverflow="ellipsis" vert="horz" wrap="square" anchor="ctr" anchorCtr="1"/>
        <a:lstStyle/>
        <a:p>
          <a:pPr algn="l">
            <a:defRPr sz="900" b="0" i="0" u="none" strike="noStrike" kern="1200" spc="0" baseline="0">
              <a:solidFill>
                <a:srgbClr val="787878"/>
              </a:solidFill>
              <a:latin typeface="Arial" panose="020B0604020202020204" pitchFamily="34" charset="0"/>
              <a:ea typeface="+mn-ea"/>
              <a:cs typeface="Arial" panose="020B0604020202020204" pitchFamily="34" charset="0"/>
            </a:defRPr>
          </a:pPr>
          <a:endParaRPr lang="en-SG"/>
        </a:p>
      </c:txPr>
    </c:title>
    <c:autoTitleDeleted val="0"/>
    <c:plotArea>
      <c:layout/>
      <c:barChart>
        <c:barDir val="bar"/>
        <c:grouping val="clustered"/>
        <c:varyColors val="0"/>
        <c:ser>
          <c:idx val="0"/>
          <c:order val="0"/>
          <c:spPr>
            <a:solidFill>
              <a:srgbClr val="0071CE"/>
            </a:solidFill>
            <a:ln>
              <a:noFill/>
            </a:ln>
            <a:effectLst/>
          </c:spPr>
          <c:invertIfNegative val="0"/>
          <c:dPt>
            <c:idx val="9"/>
            <c:invertIfNegative val="0"/>
            <c:bubble3D val="0"/>
            <c:spPr>
              <a:solidFill>
                <a:srgbClr val="0A1F8F"/>
              </a:solidFill>
              <a:ln>
                <a:noFill/>
              </a:ln>
              <a:effectLst/>
            </c:spPr>
            <c:extLst>
              <c:ext xmlns:c16="http://schemas.microsoft.com/office/drawing/2014/chart" uri="{C3380CC4-5D6E-409C-BE32-E72D297353CC}">
                <c16:uniqueId val="{00000001-88A5-4C7A-902B-A630B7C5087A}"/>
              </c:ext>
            </c:extLst>
          </c:dPt>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Arial" panose="020B0604020202020204" pitchFamily="34" charset="0"/>
                    <a:ea typeface="+mn-ea"/>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'Size Premium'!$N$25:$N$34</c:f>
              <c:strCache>
                <c:ptCount val="10"/>
                <c:pt idx="0">
                  <c:v>1 - Largest</c:v>
                </c:pt>
                <c:pt idx="1">
                  <c:v>2</c:v>
                </c:pt>
                <c:pt idx="2">
                  <c:v>3</c:v>
                </c:pt>
                <c:pt idx="3">
                  <c:v>4</c:v>
                </c:pt>
                <c:pt idx="4">
                  <c:v>5</c:v>
                </c:pt>
                <c:pt idx="5">
                  <c:v>6</c:v>
                </c:pt>
                <c:pt idx="6">
                  <c:v>7</c:v>
                </c:pt>
                <c:pt idx="7">
                  <c:v>8</c:v>
                </c:pt>
                <c:pt idx="8">
                  <c:v>9</c:v>
                </c:pt>
                <c:pt idx="9">
                  <c:v>10 - Smallest</c:v>
                </c:pt>
              </c:strCache>
            </c:strRef>
          </c:cat>
          <c:val>
            <c:numRef>
              <c:f>'Size Premium'!$Q$25:$Q$34</c:f>
              <c:numCache>
                <c:formatCode>0.00%</c:formatCode>
                <c:ptCount val="10"/>
                <c:pt idx="0">
                  <c:v>-2.8E-3</c:v>
                </c:pt>
                <c:pt idx="1">
                  <c:v>5.0000000000000001E-3</c:v>
                </c:pt>
                <c:pt idx="2">
                  <c:v>7.3000000000000001E-3</c:v>
                </c:pt>
                <c:pt idx="3">
                  <c:v>7.9000000000000008E-3</c:v>
                </c:pt>
                <c:pt idx="4">
                  <c:v>1.0999999999999999E-2</c:v>
                </c:pt>
                <c:pt idx="5">
                  <c:v>1.34E-2</c:v>
                </c:pt>
                <c:pt idx="6">
                  <c:v>1.47E-2</c:v>
                </c:pt>
                <c:pt idx="7">
                  <c:v>1.5900000000000001E-2</c:v>
                </c:pt>
                <c:pt idx="8">
                  <c:v>2.2200000000000001E-2</c:v>
                </c:pt>
                <c:pt idx="9">
                  <c:v>4.99E-2</c:v>
                </c:pt>
              </c:numCache>
            </c:numRef>
          </c:val>
          <c:extLst>
            <c:ext xmlns:c16="http://schemas.microsoft.com/office/drawing/2014/chart" uri="{C3380CC4-5D6E-409C-BE32-E72D297353CC}">
              <c16:uniqueId val="{00000003-88A5-4C7A-902B-A630B7C5087A}"/>
            </c:ext>
          </c:extLst>
        </c:ser>
        <c:dLbls>
          <c:showLegendKey val="0"/>
          <c:showVal val="0"/>
          <c:showCatName val="0"/>
          <c:showSerName val="0"/>
          <c:showPercent val="0"/>
          <c:showBubbleSize val="0"/>
        </c:dLbls>
        <c:gapWidth val="70"/>
        <c:axId val="444607104"/>
        <c:axId val="444612992"/>
      </c:barChart>
      <c:catAx>
        <c:axId val="4446071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787878"/>
                </a:solidFill>
                <a:latin typeface="Arial" panose="020B0604020202020204" pitchFamily="34" charset="0"/>
                <a:ea typeface="+mn-ea"/>
                <a:cs typeface="Arial" panose="020B0604020202020204" pitchFamily="34" charset="0"/>
              </a:defRPr>
            </a:pPr>
            <a:endParaRPr lang="en-US"/>
          </a:p>
        </c:txPr>
        <c:crossAx val="444612992"/>
        <c:crossesAt val="-2.0000000000000011E-2"/>
        <c:auto val="1"/>
        <c:lblAlgn val="ctr"/>
        <c:lblOffset val="100"/>
        <c:noMultiLvlLbl val="0"/>
      </c:catAx>
      <c:valAx>
        <c:axId val="444612992"/>
        <c:scaling>
          <c:orientation val="minMax"/>
          <c:min val="-1.5000000000000003E-2"/>
        </c:scaling>
        <c:delete val="1"/>
        <c:axPos val="t"/>
        <c:majorGridlines>
          <c:spPr>
            <a:ln w="9525" cap="flat" cmpd="sng" algn="ctr">
              <a:solidFill>
                <a:schemeClr val="tx1">
                  <a:lumMod val="15000"/>
                  <a:lumOff val="85000"/>
                </a:schemeClr>
              </a:solidFill>
              <a:round/>
            </a:ln>
            <a:effectLst/>
          </c:spPr>
        </c:majorGridlines>
        <c:numFmt formatCode="0%" sourceLinked="0"/>
        <c:majorTickMark val="out"/>
        <c:minorTickMark val="none"/>
        <c:tickLblPos val="nextTo"/>
        <c:crossAx val="444607104"/>
        <c:crosses val="autoZero"/>
        <c:crossBetween val="between"/>
      </c:valAx>
      <c:spPr>
        <a:solidFill>
          <a:schemeClr val="bg1"/>
        </a:solidFill>
        <a:ln>
          <a:solidFill>
            <a:schemeClr val="bg1">
              <a:lumMod val="8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85000"/>
        </a:schemeClr>
      </a:solidFill>
      <a:round/>
    </a:ln>
    <a:effectLst/>
  </c:spPr>
  <c:txPr>
    <a:bodyPr/>
    <a:lstStyle/>
    <a:p>
      <a:pPr>
        <a:defRPr>
          <a:solidFill>
            <a:schemeClr val="tx1"/>
          </a:solidFill>
          <a:latin typeface="Arial" panose="020B0604020202020204" pitchFamily="34" charset="0"/>
          <a:cs typeface="Arial" panose="020B0604020202020204" pitchFamily="34" charset="0"/>
        </a:defRPr>
      </a:pPr>
      <a:endParaRPr lang="en-US"/>
    </a:p>
  </c:txPr>
  <c:printSettings>
    <c:headerFooter/>
    <c:pageMargins b="0.75000000000000033" l="0.70000000000000029" r="0.70000000000000029" t="0.75000000000000033" header="0.30000000000000016" footer="0.30000000000000016"/>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4"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8</xdr:col>
      <xdr:colOff>45719</xdr:colOff>
      <xdr:row>0</xdr:row>
      <xdr:rowOff>0</xdr:rowOff>
    </xdr:from>
    <xdr:to>
      <xdr:col>8</xdr:col>
      <xdr:colOff>45719</xdr:colOff>
      <xdr:row>1</xdr:row>
      <xdr:rowOff>58420</xdr:rowOff>
    </xdr:to>
    <xdr:pic>
      <xdr:nvPicPr>
        <xdr:cNvPr id="2" name="Image 6" descr="logo.jpg">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srcRect t="20742" r="17020" b="17030"/>
        <a:stretch/>
      </xdr:blipFill>
      <xdr:spPr>
        <a:xfrm>
          <a:off x="3771899" y="68580"/>
          <a:ext cx="1874521" cy="386080"/>
        </a:xfrm>
        <a:prstGeom prst="rect">
          <a:avLst/>
        </a:prstGeom>
      </xdr:spPr>
    </xdr:pic>
    <xdr:clientData/>
  </xdr:twoCellAnchor>
  <xdr:twoCellAnchor editAs="oneCell">
    <xdr:from>
      <xdr:col>8</xdr:col>
      <xdr:colOff>61646</xdr:colOff>
      <xdr:row>0</xdr:row>
      <xdr:rowOff>49695</xdr:rowOff>
    </xdr:from>
    <xdr:to>
      <xdr:col>12</xdr:col>
      <xdr:colOff>442153</xdr:colOff>
      <xdr:row>4</xdr:row>
      <xdr:rowOff>91108</xdr:rowOff>
    </xdr:to>
    <xdr:pic>
      <xdr:nvPicPr>
        <xdr:cNvPr id="5" name="Picture 4">
          <a:extLst>
            <a:ext uri="{FF2B5EF4-FFF2-40B4-BE49-F238E27FC236}">
              <a16:creationId xmlns:a16="http://schemas.microsoft.com/office/drawing/2014/main" id="{6890C458-3CB9-45D1-A04D-174A74F4E23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6448" b="32303"/>
        <a:stretch/>
      </xdr:blipFill>
      <xdr:spPr>
        <a:xfrm>
          <a:off x="5428776" y="49695"/>
          <a:ext cx="2467725" cy="101876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5926</xdr:colOff>
      <xdr:row>0</xdr:row>
      <xdr:rowOff>319191</xdr:rowOff>
    </xdr:from>
    <xdr:ext cx="6271260" cy="88832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630766" y="319191"/>
          <a:ext cx="6271260" cy="8883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rgbClr val="000000"/>
              </a:solidFill>
              <a:effectLst/>
              <a:latin typeface="Arial" panose="020B0604020202020204" pitchFamily="34" charset="0"/>
              <a:cs typeface="Arial" panose="020B0604020202020204" pitchFamily="34" charset="0"/>
            </a:rPr>
            <a:t>Note:</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1. Delete entire columns highlighted in </a:t>
          </a:r>
          <a:r>
            <a:rPr lang="en-SG" sz="900" b="1" i="1" u="none" strike="noStrike">
              <a:solidFill>
                <a:srgbClr val="FF0000"/>
              </a:solidFill>
              <a:effectLst/>
              <a:latin typeface="Arial" panose="020B0604020202020204" pitchFamily="34" charset="0"/>
              <a:cs typeface="Arial" panose="020B0604020202020204" pitchFamily="34" charset="0"/>
            </a:rPr>
            <a:t>RED</a:t>
          </a:r>
          <a:r>
            <a:rPr lang="en-SG" sz="900" b="1" i="1" u="none" strike="noStrike">
              <a:solidFill>
                <a:sysClr val="windowText" lastClr="000000"/>
              </a:solidFill>
              <a:effectLst/>
              <a:latin typeface="Arial" panose="020B0604020202020204" pitchFamily="34" charset="0"/>
              <a:cs typeface="Arial" panose="020B0604020202020204" pitchFamily="34" charset="0"/>
            </a:rPr>
            <a:t>.</a:t>
          </a:r>
          <a:endParaRPr lang="en-SG" sz="900" b="1">
            <a:solidFill>
              <a:srgbClr val="FF0000"/>
            </a:solidFill>
            <a:latin typeface="Arial" panose="020B0604020202020204" pitchFamily="34" charset="0"/>
            <a:cs typeface="Arial" panose="020B0604020202020204" pitchFamily="34" charset="0"/>
          </a:endParaRPr>
        </a:p>
        <a:p>
          <a:r>
            <a:rPr lang="en-SG" sz="900" b="0" i="1" u="none" strike="noStrike">
              <a:solidFill>
                <a:srgbClr val="000000"/>
              </a:solidFill>
              <a:effectLst/>
              <a:latin typeface="Arial" panose="020B0604020202020204" pitchFamily="34" charset="0"/>
              <a:cs typeface="Arial" panose="020B0604020202020204" pitchFamily="34" charset="0"/>
            </a:rPr>
            <a:t>2. DO NOT HARD CODE</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3. Link to source tabs [add a client dat</a:t>
          </a:r>
          <a:r>
            <a:rPr lang="en-SG" sz="900" b="0" i="1" u="none" strike="noStrike" baseline="0">
              <a:solidFill>
                <a:srgbClr val="000000"/>
              </a:solidFill>
              <a:effectLst/>
              <a:latin typeface="Arial" panose="020B0604020202020204" pitchFamily="34" charset="0"/>
              <a:cs typeface="Arial" panose="020B0604020202020204" pitchFamily="34" charset="0"/>
            </a:rPr>
            <a:t>a section]</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4. Check if </a:t>
          </a:r>
          <a:r>
            <a:rPr lang="en-SG" sz="900" b="1" i="1" u="sng" strike="noStrike">
              <a:solidFill>
                <a:srgbClr val="000000"/>
              </a:solidFill>
              <a:effectLst/>
              <a:latin typeface="Arial" panose="020B0604020202020204" pitchFamily="34" charset="0"/>
              <a:cs typeface="Arial" panose="020B0604020202020204" pitchFamily="34" charset="0"/>
            </a:rPr>
            <a:t>display unit </a:t>
          </a:r>
          <a:r>
            <a:rPr lang="en-SG" sz="900" b="0" i="1" u="none" strike="noStrike">
              <a:solidFill>
                <a:srgbClr val="000000"/>
              </a:solidFill>
              <a:effectLst/>
              <a:latin typeface="Arial" panose="020B0604020202020204" pitchFamily="34" charset="0"/>
              <a:cs typeface="Arial" panose="020B0604020202020204" pitchFamily="34" charset="0"/>
            </a:rPr>
            <a:t>is correct. If not, all links to be divided by by "units".</a:t>
          </a:r>
          <a:r>
            <a:rPr lang="en-SG" sz="900">
              <a:latin typeface="Arial" panose="020B0604020202020204" pitchFamily="34" charset="0"/>
              <a:cs typeface="Arial" panose="020B0604020202020204" pitchFamily="34" charset="0"/>
            </a:rPr>
            <a:t> </a:t>
          </a:r>
        </a:p>
        <a:p>
          <a:r>
            <a:rPr lang="en-SG" sz="900" b="0" i="1" u="none" strike="noStrike">
              <a:solidFill>
                <a:srgbClr val="000000"/>
              </a:solidFill>
              <a:effectLst/>
              <a:latin typeface="Arial" panose="020B0604020202020204" pitchFamily="34" charset="0"/>
              <a:cs typeface="Arial" panose="020B0604020202020204" pitchFamily="34" charset="0"/>
            </a:rPr>
            <a:t>5. Insert or add rows if necessary. Change</a:t>
          </a:r>
          <a:r>
            <a:rPr lang="en-SG" sz="900" b="0" i="1" u="none" strike="noStrike" baseline="0">
              <a:solidFill>
                <a:srgbClr val="000000"/>
              </a:solidFill>
              <a:effectLst/>
              <a:latin typeface="Arial" panose="020B0604020202020204" pitchFamily="34" charset="0"/>
              <a:cs typeface="Arial" panose="020B0604020202020204" pitchFamily="34" charset="0"/>
            </a:rPr>
            <a:t> line item names where necessary.</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22860</xdr:colOff>
      <xdr:row>0</xdr:row>
      <xdr:rowOff>335280</xdr:rowOff>
    </xdr:from>
    <xdr:ext cx="6438900" cy="88832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548377" y="335280"/>
          <a:ext cx="6438900" cy="8883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ysClr val="windowText" lastClr="000000"/>
              </a:solidFill>
              <a:effectLst/>
              <a:latin typeface="Arial" panose="020B0604020202020204" pitchFamily="34" charset="0"/>
              <a:cs typeface="Arial" panose="020B0604020202020204" pitchFamily="34" charset="0"/>
            </a:rPr>
            <a:t>Note:</a:t>
          </a:r>
          <a:r>
            <a:rPr lang="en-SG" sz="900">
              <a:solidFill>
                <a:sysClr val="windowText" lastClr="000000"/>
              </a:solidFill>
              <a:latin typeface="Arial" panose="020B0604020202020204" pitchFamily="34" charset="0"/>
              <a:cs typeface="Arial" panose="020B0604020202020204" pitchFamily="34" charset="0"/>
            </a:rPr>
            <a:t> </a:t>
          </a:r>
        </a:p>
        <a:p>
          <a:r>
            <a:rPr lang="en-SG" sz="900" b="0" i="1" u="none" strike="noStrike">
              <a:solidFill>
                <a:sysClr val="windowText" lastClr="000000"/>
              </a:solidFill>
              <a:effectLst/>
              <a:latin typeface="Arial" panose="020B0604020202020204" pitchFamily="34" charset="0"/>
              <a:cs typeface="Arial" panose="020B0604020202020204" pitchFamily="34" charset="0"/>
            </a:rPr>
            <a:t>1. Delete entire columns highlighted in </a:t>
          </a:r>
          <a:r>
            <a:rPr lang="en-SG" sz="900" b="1" i="1" u="none" strike="noStrike">
              <a:solidFill>
                <a:srgbClr val="C00000"/>
              </a:solidFill>
              <a:effectLst/>
              <a:latin typeface="Arial" panose="020B0604020202020204" pitchFamily="34" charset="0"/>
              <a:cs typeface="Arial" panose="020B0604020202020204" pitchFamily="34" charset="0"/>
            </a:rPr>
            <a:t>RED</a:t>
          </a:r>
          <a:endParaRPr lang="en-SG" sz="900" b="1">
            <a:solidFill>
              <a:srgbClr val="C00000"/>
            </a:solidFill>
            <a:latin typeface="Arial" panose="020B0604020202020204" pitchFamily="34" charset="0"/>
            <a:cs typeface="Arial" panose="020B0604020202020204" pitchFamily="34" charset="0"/>
          </a:endParaRPr>
        </a:p>
        <a:p>
          <a:r>
            <a:rPr lang="en-SG" sz="900" b="0" i="1" u="none" strike="noStrike">
              <a:solidFill>
                <a:sysClr val="windowText" lastClr="000000"/>
              </a:solidFill>
              <a:effectLst/>
              <a:latin typeface="Arial" panose="020B0604020202020204" pitchFamily="34" charset="0"/>
              <a:cs typeface="Arial" panose="020B0604020202020204" pitchFamily="34" charset="0"/>
            </a:rPr>
            <a:t>2. DO NOT HARD CODE</a:t>
          </a:r>
          <a:r>
            <a:rPr lang="en-SG" sz="900">
              <a:solidFill>
                <a:sysClr val="windowText" lastClr="000000"/>
              </a:solidFill>
              <a:latin typeface="Arial" panose="020B0604020202020204" pitchFamily="34" charset="0"/>
              <a:cs typeface="Arial" panose="020B0604020202020204" pitchFamily="34" charset="0"/>
            </a:rPr>
            <a:t> </a:t>
          </a:r>
        </a:p>
        <a:p>
          <a:r>
            <a:rPr lang="en-SG" sz="900" b="0" i="1" u="none" strike="noStrike">
              <a:solidFill>
                <a:sysClr val="windowText" lastClr="000000"/>
              </a:solidFill>
              <a:effectLst/>
              <a:latin typeface="Arial" panose="020B0604020202020204" pitchFamily="34" charset="0"/>
              <a:cs typeface="Arial" panose="020B0604020202020204" pitchFamily="34" charset="0"/>
            </a:rPr>
            <a:t>3. Link to source tabs from Management forecast</a:t>
          </a:r>
        </a:p>
        <a:p>
          <a:r>
            <a:rPr lang="en-SG" sz="900" b="0" i="1" u="none" strike="noStrike">
              <a:solidFill>
                <a:sysClr val="windowText" lastClr="000000"/>
              </a:solidFill>
              <a:effectLst/>
              <a:latin typeface="Arial" panose="020B0604020202020204" pitchFamily="34" charset="0"/>
              <a:cs typeface="Arial" panose="020B0604020202020204" pitchFamily="34" charset="0"/>
            </a:rPr>
            <a:t>4. </a:t>
          </a:r>
          <a:r>
            <a:rPr lang="en-SG" sz="900" b="1" i="1" u="none" strike="noStrike">
              <a:solidFill>
                <a:sysClr val="windowText" lastClr="000000"/>
              </a:solidFill>
              <a:effectLst/>
              <a:latin typeface="Arial" panose="020B0604020202020204" pitchFamily="34" charset="0"/>
              <a:cs typeface="Arial" panose="020B0604020202020204" pitchFamily="34" charset="0"/>
            </a:rPr>
            <a:t>The first column should</a:t>
          </a:r>
          <a:r>
            <a:rPr lang="en-SG" sz="900" b="1" i="1" u="none" strike="noStrike" baseline="0">
              <a:solidFill>
                <a:sysClr val="windowText" lastClr="000000"/>
              </a:solidFill>
              <a:effectLst/>
              <a:latin typeface="Arial" panose="020B0604020202020204" pitchFamily="34" charset="0"/>
              <a:cs typeface="Arial" panose="020B0604020202020204" pitchFamily="34" charset="0"/>
            </a:rPr>
            <a:t> always be linked to </a:t>
          </a:r>
          <a:r>
            <a:rPr lang="en-SG" sz="900" b="1" i="1" u="none" strike="noStrike" baseline="0">
              <a:solidFill>
                <a:srgbClr val="C00000"/>
              </a:solidFill>
              <a:effectLst/>
              <a:latin typeface="Arial" panose="020B0604020202020204" pitchFamily="34" charset="0"/>
              <a:cs typeface="Arial" panose="020B0604020202020204" pitchFamily="34" charset="0"/>
            </a:rPr>
            <a:t>FULL YEAR </a:t>
          </a:r>
          <a:r>
            <a:rPr lang="en-SG" sz="900" b="1" i="1" u="none" strike="noStrike" baseline="0">
              <a:solidFill>
                <a:sysClr val="windowText" lastClr="000000"/>
              </a:solidFill>
              <a:effectLst/>
              <a:latin typeface="Arial" panose="020B0604020202020204" pitchFamily="34" charset="0"/>
              <a:cs typeface="Arial" panose="020B0604020202020204" pitchFamily="34" charset="0"/>
            </a:rPr>
            <a:t>forecast, regardless of no of months till FY. </a:t>
          </a:r>
          <a:endParaRPr lang="en-SG" sz="900" b="1">
            <a:solidFill>
              <a:sysClr val="windowText" lastClr="000000"/>
            </a:solidFill>
            <a:latin typeface="Arial" panose="020B0604020202020204" pitchFamily="34" charset="0"/>
            <a:cs typeface="Arial" panose="020B0604020202020204" pitchFamily="34" charset="0"/>
          </a:endParaRPr>
        </a:p>
        <a:p>
          <a:r>
            <a:rPr lang="en-SG" sz="900" b="0" i="1" u="none" strike="noStrike">
              <a:solidFill>
                <a:sysClr val="windowText" lastClr="000000"/>
              </a:solidFill>
              <a:effectLst/>
              <a:latin typeface="Arial" panose="020B0604020202020204" pitchFamily="34" charset="0"/>
              <a:cs typeface="Arial" panose="020B0604020202020204" pitchFamily="34" charset="0"/>
            </a:rPr>
            <a:t>5. Check if </a:t>
          </a:r>
          <a:r>
            <a:rPr lang="en-SG" sz="900" b="1" i="1" u="sng" strike="noStrike">
              <a:solidFill>
                <a:sysClr val="windowText" lastClr="000000"/>
              </a:solidFill>
              <a:effectLst/>
              <a:latin typeface="Arial" panose="020B0604020202020204" pitchFamily="34" charset="0"/>
              <a:cs typeface="Arial" panose="020B0604020202020204" pitchFamily="34" charset="0"/>
            </a:rPr>
            <a:t>display unit</a:t>
          </a:r>
          <a:r>
            <a:rPr lang="en-SG" sz="900" b="1" i="1" u="none" strike="noStrike">
              <a:solidFill>
                <a:sysClr val="windowText" lastClr="000000"/>
              </a:solidFill>
              <a:effectLst/>
              <a:latin typeface="Arial" panose="020B0604020202020204" pitchFamily="34" charset="0"/>
              <a:cs typeface="Arial" panose="020B0604020202020204" pitchFamily="34" charset="0"/>
            </a:rPr>
            <a:t> </a:t>
          </a:r>
          <a:r>
            <a:rPr lang="en-SG" sz="900" b="0" i="1" u="none" strike="noStrike">
              <a:solidFill>
                <a:sysClr val="windowText" lastClr="000000"/>
              </a:solidFill>
              <a:effectLst/>
              <a:latin typeface="Arial" panose="020B0604020202020204" pitchFamily="34" charset="0"/>
              <a:cs typeface="Arial" panose="020B0604020202020204" pitchFamily="34" charset="0"/>
            </a:rPr>
            <a:t>is correct. If not, all links to be divided by by "units".</a:t>
          </a:r>
          <a:r>
            <a:rPr lang="en-SG" sz="900">
              <a:solidFill>
                <a:sysClr val="windowText" lastClr="000000"/>
              </a:solidFill>
              <a:latin typeface="Arial" panose="020B0604020202020204" pitchFamily="34" charset="0"/>
              <a:cs typeface="Arial" panose="020B0604020202020204" pitchFamily="34" charset="0"/>
            </a:rPr>
            <a:t>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216647</xdr:colOff>
      <xdr:row>1</xdr:row>
      <xdr:rowOff>29882</xdr:rowOff>
    </xdr:from>
    <xdr:ext cx="3189941" cy="806824"/>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2786529" y="381000"/>
          <a:ext cx="3189941" cy="80682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Enter info for the Subject Company in row 11</a:t>
          </a:r>
          <a:endParaRPr lang="en-SG" sz="900"/>
        </a:p>
        <a:p>
          <a:r>
            <a:rPr lang="en-SG" sz="900" b="0" i="1" u="none" strike="noStrike">
              <a:solidFill>
                <a:srgbClr val="000000"/>
              </a:solidFill>
              <a:effectLst/>
              <a:latin typeface="Arial" panose="020B0604020202020204" pitchFamily="34" charset="0"/>
            </a:rPr>
            <a:t>2. Enter the CIQ tickers for the Comps in Column C. </a:t>
          </a:r>
        </a:p>
        <a:p>
          <a:r>
            <a:rPr lang="en-SG" sz="900" b="0" i="1" u="none" strike="noStrike">
              <a:solidFill>
                <a:srgbClr val="000000"/>
              </a:solidFill>
              <a:effectLst/>
              <a:latin typeface="Arial" panose="020B0604020202020204" pitchFamily="34" charset="0"/>
            </a:rPr>
            <a:t>3. DO</a:t>
          </a:r>
          <a:r>
            <a:rPr lang="en-SG" sz="900" b="0" i="1" u="none" strike="noStrike" baseline="0">
              <a:solidFill>
                <a:srgbClr val="000000"/>
              </a:solidFill>
              <a:effectLst/>
              <a:latin typeface="Arial" panose="020B0604020202020204" pitchFamily="34" charset="0"/>
            </a:rPr>
            <a:t> NOT DELETE UNUSED ROWS. HIDE INSTEAD</a:t>
          </a:r>
          <a:endParaRPr lang="en-SG" sz="900"/>
        </a:p>
        <a:p>
          <a:r>
            <a:rPr lang="en-SG" sz="900" b="0" i="0" u="none" strike="noStrike" baseline="0">
              <a:solidFill>
                <a:schemeClr val="tx1"/>
              </a:solidFill>
              <a:effectLst/>
              <a:latin typeface="+mn-lt"/>
            </a:rPr>
            <a:t> </a:t>
          </a:r>
          <a:endParaRPr lang="en-SG" sz="900">
            <a:latin typeface="Arial" panose="020B0604020202020204" pitchFamily="34" charset="0"/>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335280</xdr:rowOff>
    </xdr:from>
    <xdr:ext cx="4983480" cy="631198"/>
    <xdr:sp macro="" textlink="">
      <xdr:nvSpPr>
        <xdr:cNvPr id="2" name="TextBox 1">
          <a:extLst>
            <a:ext uri="{FF2B5EF4-FFF2-40B4-BE49-F238E27FC236}">
              <a16:creationId xmlns:a16="http://schemas.microsoft.com/office/drawing/2014/main" id="{00000000-0008-0000-0700-000002000000}"/>
            </a:ext>
          </a:extLst>
        </xdr:cNvPr>
        <xdr:cNvSpPr txBox="1"/>
      </xdr:nvSpPr>
      <xdr:spPr>
        <a:xfrm>
          <a:off x="487680" y="335280"/>
          <a:ext cx="4983480" cy="631198"/>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Check the</a:t>
          </a:r>
          <a:r>
            <a:rPr lang="en-SG" sz="900" b="0" i="1" u="none" strike="noStrike" baseline="0">
              <a:solidFill>
                <a:srgbClr val="000000"/>
              </a:solidFill>
              <a:effectLst/>
              <a:latin typeface="Arial" panose="020B0604020202020204" pitchFamily="34" charset="0"/>
            </a:rPr>
            <a:t> number of Comps. Insert or delete rows as needed</a:t>
          </a:r>
        </a:p>
        <a:p>
          <a:r>
            <a:rPr lang="en-SG" sz="900" b="0" i="1" u="none" strike="noStrike" baseline="0">
              <a:solidFill>
                <a:srgbClr val="000000"/>
              </a:solidFill>
              <a:effectLst/>
              <a:latin typeface="Arial" panose="020B0604020202020204" pitchFamily="34" charset="0"/>
              <a:cs typeface="Arial" panose="020B0604020202020204" pitchFamily="34" charset="0"/>
            </a:rPr>
            <a:t>2. Paste value for columns highlighted in </a:t>
          </a:r>
          <a:r>
            <a:rPr lang="en-SG" sz="900" b="1" i="1" u="none" strike="noStrike" baseline="0">
              <a:solidFill>
                <a:schemeClr val="accent4"/>
              </a:solidFill>
              <a:effectLst/>
              <a:latin typeface="Arial" panose="020B0604020202020204" pitchFamily="34" charset="0"/>
              <a:cs typeface="Arial" panose="020B0604020202020204" pitchFamily="34" charset="0"/>
            </a:rPr>
            <a:t>ORANGE</a:t>
          </a:r>
        </a:p>
        <a:p>
          <a:r>
            <a:rPr lang="en-SG" sz="900" b="0" i="1" u="none" strike="noStrike" baseline="0">
              <a:solidFill>
                <a:srgbClr val="000000"/>
              </a:solidFill>
              <a:effectLst/>
              <a:latin typeface="Arial" panose="020B0604020202020204" pitchFamily="34" charset="0"/>
              <a:ea typeface="+mn-ea"/>
              <a:cs typeface="Arial" panose="020B0604020202020204" pitchFamily="34" charset="0"/>
            </a:rPr>
            <a:t>3. Make sure row index in column A is correct after deleting</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1</xdr:col>
      <xdr:colOff>7620</xdr:colOff>
      <xdr:row>1</xdr:row>
      <xdr:rowOff>91440</xdr:rowOff>
    </xdr:from>
    <xdr:ext cx="5829300" cy="998220"/>
    <xdr:sp macro="" textlink="">
      <xdr:nvSpPr>
        <xdr:cNvPr id="2" name="TextBox 1">
          <a:extLst>
            <a:ext uri="{FF2B5EF4-FFF2-40B4-BE49-F238E27FC236}">
              <a16:creationId xmlns:a16="http://schemas.microsoft.com/office/drawing/2014/main" id="{00000000-0008-0000-0A00-000002000000}"/>
            </a:ext>
          </a:extLst>
        </xdr:cNvPr>
        <xdr:cNvSpPr txBox="1"/>
      </xdr:nvSpPr>
      <xdr:spPr>
        <a:xfrm>
          <a:off x="495300" y="441960"/>
          <a:ext cx="5829300" cy="99822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DELETE contents of columns with DELETE headings</a:t>
          </a:r>
        </a:p>
        <a:p>
          <a:r>
            <a:rPr lang="en-SG" sz="900" b="0" i="1" u="none" strike="noStrike">
              <a:solidFill>
                <a:srgbClr val="000000"/>
              </a:solidFill>
              <a:effectLst/>
              <a:latin typeface="Arial" panose="020B0604020202020204" pitchFamily="34" charset="0"/>
            </a:rPr>
            <a:t>2. This model caters for 10 years of historical data and 30 years of forecast</a:t>
          </a:r>
          <a:endParaRPr lang="en-SG" sz="900"/>
        </a:p>
        <a:p>
          <a:r>
            <a:rPr lang="en-SG" sz="900" b="0" i="1" u="none" strike="noStrike">
              <a:solidFill>
                <a:srgbClr val="000000"/>
              </a:solidFill>
              <a:effectLst/>
              <a:latin typeface="Arial" panose="020B0604020202020204" pitchFamily="34" charset="0"/>
            </a:rPr>
            <a:t>3. For mode than 10 years of historical or 30 years of forecast data, please manually insert more columns below</a:t>
          </a:r>
          <a:endParaRPr lang="en-SG" sz="900">
            <a:latin typeface="Arial" panose="020B0604020202020204" pitchFamily="34" charset="0"/>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xdr:col>
      <xdr:colOff>15240</xdr:colOff>
      <xdr:row>1</xdr:row>
      <xdr:rowOff>30480</xdr:rowOff>
    </xdr:from>
    <xdr:ext cx="5829300" cy="632460"/>
    <xdr:sp macro="" textlink="">
      <xdr:nvSpPr>
        <xdr:cNvPr id="6" name="TextBox 5">
          <a:extLst>
            <a:ext uri="{FF2B5EF4-FFF2-40B4-BE49-F238E27FC236}">
              <a16:creationId xmlns:a16="http://schemas.microsoft.com/office/drawing/2014/main" id="{00000000-0008-0000-0B00-000006000000}"/>
            </a:ext>
          </a:extLst>
        </xdr:cNvPr>
        <xdr:cNvSpPr txBox="1"/>
      </xdr:nvSpPr>
      <xdr:spPr>
        <a:xfrm>
          <a:off x="502920" y="381000"/>
          <a:ext cx="5829300" cy="63246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a:t>
          </a:r>
          <a:r>
            <a:rPr lang="en-SG" sz="900" b="0" i="1" u="none" strike="noStrike" baseline="0">
              <a:solidFill>
                <a:srgbClr val="000000"/>
              </a:solidFill>
              <a:effectLst/>
              <a:latin typeface="Arial" panose="020B0604020202020204" pitchFamily="34" charset="0"/>
              <a:cs typeface="Arial" panose="020B0604020202020204" pitchFamily="34" charset="0"/>
            </a:rPr>
            <a:t>Check linkage of each input into WACC computation. Make sure the information is up to date.</a:t>
          </a:r>
        </a:p>
        <a:p>
          <a:r>
            <a:rPr lang="en-SG" sz="900" b="0" i="1" u="none" strike="noStrike" baseline="0">
              <a:solidFill>
                <a:srgbClr val="000000"/>
              </a:solidFill>
              <a:effectLst/>
              <a:latin typeface="Arial" panose="020B0604020202020204" pitchFamily="34" charset="0"/>
              <a:cs typeface="Arial" panose="020B0604020202020204" pitchFamily="34" charset="0"/>
            </a:rPr>
            <a:t>2. Enter alpha tab O1. Alpha depends on the assumptions for each case.</a:t>
          </a:r>
          <a:endParaRPr lang="en-SG" sz="900">
            <a:latin typeface="Arial" panose="020B0604020202020204" pitchFamily="34" charset="0"/>
            <a:cs typeface="Arial" panose="020B0604020202020204"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1</xdr:col>
      <xdr:colOff>22860</xdr:colOff>
      <xdr:row>1</xdr:row>
      <xdr:rowOff>0</xdr:rowOff>
    </xdr:from>
    <xdr:ext cx="5829300" cy="876300"/>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525780" y="350520"/>
          <a:ext cx="5829300" cy="87630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a:t>
          </a:r>
          <a:r>
            <a:rPr lang="en-SG" sz="900" b="0" i="1" u="none" strike="noStrike" baseline="0">
              <a:solidFill>
                <a:srgbClr val="000000"/>
              </a:solidFill>
              <a:effectLst/>
              <a:latin typeface="Arial" panose="020B0604020202020204" pitchFamily="34" charset="0"/>
            </a:rPr>
            <a:t>DELETE contents of columns highlighted in RED.</a:t>
          </a:r>
          <a:endParaRPr lang="en-SG" sz="900" b="0" i="1" u="none" strike="noStrike">
            <a:solidFill>
              <a:srgbClr val="000000"/>
            </a:solidFill>
            <a:effectLst/>
            <a:latin typeface="Arial" panose="020B0604020202020204" pitchFamily="34" charset="0"/>
          </a:endParaRPr>
        </a:p>
        <a:p>
          <a:r>
            <a:rPr lang="en-SG" sz="900" b="0" i="1" u="none" strike="noStrike">
              <a:solidFill>
                <a:srgbClr val="000000"/>
              </a:solidFill>
              <a:effectLst/>
              <a:latin typeface="Arial" panose="020B0604020202020204" pitchFamily="34" charset="0"/>
            </a:rPr>
            <a:t>2.</a:t>
          </a:r>
          <a:r>
            <a:rPr lang="en-SG" sz="900" b="0" i="1" u="none" strike="noStrike" baseline="0">
              <a:solidFill>
                <a:srgbClr val="000000"/>
              </a:solidFill>
              <a:effectLst/>
              <a:latin typeface="Arial" panose="020B0604020202020204" pitchFamily="34" charset="0"/>
            </a:rPr>
            <a:t> </a:t>
          </a:r>
          <a:r>
            <a:rPr lang="en-SG" sz="900" b="0" i="1" u="none" strike="noStrike" baseline="0">
              <a:solidFill>
                <a:srgbClr val="000000"/>
              </a:solidFill>
              <a:effectLst/>
              <a:latin typeface="Arial" panose="020B0604020202020204" pitchFamily="34" charset="0"/>
              <a:cs typeface="Arial" panose="020B0604020202020204" pitchFamily="34" charset="0"/>
            </a:rPr>
            <a:t>Cell F12 controls DLOC and DLOM. No DLOC and DLOM for controlling stake</a:t>
          </a:r>
        </a:p>
        <a:p>
          <a:r>
            <a:rPr lang="en-SG" sz="900" b="0" i="1" u="none" strike="noStrike" baseline="0">
              <a:solidFill>
                <a:srgbClr val="000000"/>
              </a:solidFill>
              <a:effectLst/>
              <a:latin typeface="Arial" panose="020B0604020202020204" pitchFamily="34" charset="0"/>
              <a:cs typeface="Arial" panose="020B0604020202020204" pitchFamily="34" charset="0"/>
            </a:rPr>
            <a:t>3. Always set cell C4 (Offset) at 2</a:t>
          </a:r>
        </a:p>
        <a:p>
          <a:r>
            <a:rPr lang="en-SG" sz="900">
              <a:latin typeface="Arial" panose="020B0604020202020204" pitchFamily="34" charset="0"/>
              <a:cs typeface="Arial" panose="020B0604020202020204" pitchFamily="34" charset="0"/>
            </a:rPr>
            <a:t>4. If Tax</a:t>
          </a:r>
          <a:r>
            <a:rPr lang="en-SG" sz="900" baseline="0">
              <a:latin typeface="Arial" panose="020B0604020202020204" pitchFamily="34" charset="0"/>
              <a:cs typeface="Arial" panose="020B0604020202020204" pitchFamily="34" charset="0"/>
            </a:rPr>
            <a:t> Loss Carryforward is allowed, set cell F14 to Y and enter the outstanding balance amount in cell C5.</a:t>
          </a:r>
          <a:endParaRPr lang="en-SG" sz="900">
            <a:latin typeface="Arial" panose="020B0604020202020204" pitchFamily="34" charset="0"/>
            <a:cs typeface="Arial" panose="020B0604020202020204"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7620</xdr:colOff>
      <xdr:row>1</xdr:row>
      <xdr:rowOff>7620</xdr:rowOff>
    </xdr:from>
    <xdr:ext cx="5829300" cy="458544"/>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563432" y="357244"/>
          <a:ext cx="5829300" cy="45854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DELETE</a:t>
          </a:r>
          <a:r>
            <a:rPr lang="en-SG" sz="900" b="0" i="1" u="none" strike="noStrike" baseline="0">
              <a:solidFill>
                <a:srgbClr val="000000"/>
              </a:solidFill>
              <a:effectLst/>
              <a:latin typeface="Arial" panose="020B0604020202020204" pitchFamily="34" charset="0"/>
            </a:rPr>
            <a:t> unnecessary rows</a:t>
          </a:r>
          <a:endParaRPr lang="en-SG" sz="900" b="0" i="1" u="none" strike="noStrike">
            <a:solidFill>
              <a:srgbClr val="000000"/>
            </a:solidFill>
            <a:effectLst/>
            <a:latin typeface="Arial" panose="020B0604020202020204" pitchFamily="34" charset="0"/>
          </a:endParaRPr>
        </a:p>
        <a:p>
          <a:endParaRPr lang="en-SG" sz="900">
            <a:latin typeface="Arial" panose="020B0604020202020204" pitchFamily="34" charset="0"/>
            <a:cs typeface="Arial" panose="020B0604020202020204" pitchFamily="34" charset="0"/>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xdr:col>
      <xdr:colOff>45720</xdr:colOff>
      <xdr:row>1</xdr:row>
      <xdr:rowOff>53340</xdr:rowOff>
    </xdr:from>
    <xdr:ext cx="5829300" cy="755074"/>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533400" y="403860"/>
          <a:ext cx="5829300" cy="755074"/>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SG" sz="900" b="1" i="0" u="sng" strike="noStrike">
              <a:solidFill>
                <a:srgbClr val="000000"/>
              </a:solidFill>
              <a:effectLst/>
              <a:latin typeface="Arial" panose="020B0604020202020204" pitchFamily="34" charset="0"/>
            </a:rPr>
            <a:t>Note:</a:t>
          </a:r>
          <a:r>
            <a:rPr lang="en-SG" sz="900"/>
            <a:t> </a:t>
          </a:r>
        </a:p>
        <a:p>
          <a:r>
            <a:rPr lang="en-SG" sz="900" b="0" i="1" u="none" strike="noStrike">
              <a:solidFill>
                <a:srgbClr val="000000"/>
              </a:solidFill>
              <a:effectLst/>
              <a:latin typeface="Arial" panose="020B0604020202020204" pitchFamily="34" charset="0"/>
            </a:rPr>
            <a:t>1. Download</a:t>
          </a:r>
          <a:r>
            <a:rPr lang="en-SG" sz="900" b="0" i="1" u="none" strike="noStrike" baseline="0">
              <a:solidFill>
                <a:srgbClr val="000000"/>
              </a:solidFill>
              <a:effectLst/>
              <a:latin typeface="Arial" panose="020B0604020202020204" pitchFamily="34" charset="0"/>
            </a:rPr>
            <a:t> info from CIQ and link here</a:t>
          </a:r>
          <a:endParaRPr lang="en-SG" sz="900" b="0" i="1" u="none" strike="noStrike">
            <a:solidFill>
              <a:srgbClr val="000000"/>
            </a:solidFill>
            <a:effectLst/>
            <a:latin typeface="Arial" panose="020B0604020202020204" pitchFamily="34" charset="0"/>
          </a:endParaRPr>
        </a:p>
        <a:p>
          <a:endParaRPr lang="en-SG" sz="900">
            <a:latin typeface="Arial" panose="020B0604020202020204" pitchFamily="34" charset="0"/>
            <a:cs typeface="Arial" panose="020B0604020202020204" pitchFamily="34" charset="0"/>
          </a:endParaRPr>
        </a:p>
      </xdr:txBody>
    </xdr:sp>
    <xdr:clientData/>
  </xdr:oneCellAnchor>
  <xdr:twoCellAnchor>
    <xdr:from>
      <xdr:col>12</xdr:col>
      <xdr:colOff>22860</xdr:colOff>
      <xdr:row>9</xdr:row>
      <xdr:rowOff>91440</xdr:rowOff>
    </xdr:from>
    <xdr:to>
      <xdr:col>16</xdr:col>
      <xdr:colOff>281400</xdr:colOff>
      <xdr:row>30</xdr:row>
      <xdr:rowOff>121920</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53340</xdr:colOff>
      <xdr:row>32</xdr:row>
      <xdr:rowOff>114300</xdr:rowOff>
    </xdr:from>
    <xdr:to>
      <xdr:col>4</xdr:col>
      <xdr:colOff>711200</xdr:colOff>
      <xdr:row>53</xdr:row>
      <xdr:rowOff>95250</xdr:rowOff>
    </xdr:to>
    <xdr:graphicFrame macro="">
      <xdr:nvGraphicFramePr>
        <xdr:cNvPr id="4" name="Chart 3">
          <a:extLst>
            <a:ext uri="{FF2B5EF4-FFF2-40B4-BE49-F238E27FC236}">
              <a16:creationId xmlns:a16="http://schemas.microsoft.com/office/drawing/2014/main" id="{00000000-0008-0000-1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12631</xdr:colOff>
      <xdr:row>6</xdr:row>
      <xdr:rowOff>99427</xdr:rowOff>
    </xdr:from>
    <xdr:to>
      <xdr:col>28</xdr:col>
      <xdr:colOff>332509</xdr:colOff>
      <xdr:row>38</xdr:row>
      <xdr:rowOff>76200</xdr:rowOff>
    </xdr:to>
    <xdr:graphicFrame macro="">
      <xdr:nvGraphicFramePr>
        <xdr:cNvPr id="5" name="Chart 4">
          <a:extLst>
            <a:ext uri="{FF2B5EF4-FFF2-40B4-BE49-F238E27FC236}">
              <a16:creationId xmlns:a16="http://schemas.microsoft.com/office/drawing/2014/main" id="{2BF1255F-206A-ECFA-86D7-9977DADE20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12631</xdr:colOff>
      <xdr:row>47</xdr:row>
      <xdr:rowOff>88542</xdr:rowOff>
    </xdr:from>
    <xdr:to>
      <xdr:col>28</xdr:col>
      <xdr:colOff>401782</xdr:colOff>
      <xdr:row>79</xdr:row>
      <xdr:rowOff>65315</xdr:rowOff>
    </xdr:to>
    <xdr:graphicFrame macro="">
      <xdr:nvGraphicFramePr>
        <xdr:cNvPr id="2" name="Chart 1">
          <a:extLst>
            <a:ext uri="{FF2B5EF4-FFF2-40B4-BE49-F238E27FC236}">
              <a16:creationId xmlns:a16="http://schemas.microsoft.com/office/drawing/2014/main" id="{018CA222-A0D7-E470-90E4-5744133F0D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336480</xdr:colOff>
      <xdr:row>89</xdr:row>
      <xdr:rowOff>23227</xdr:rowOff>
    </xdr:from>
    <xdr:to>
      <xdr:col>29</xdr:col>
      <xdr:colOff>55418</xdr:colOff>
      <xdr:row>121</xdr:row>
      <xdr:rowOff>0</xdr:rowOff>
    </xdr:to>
    <xdr:graphicFrame macro="">
      <xdr:nvGraphicFramePr>
        <xdr:cNvPr id="4" name="Chart 3">
          <a:extLst>
            <a:ext uri="{FF2B5EF4-FFF2-40B4-BE49-F238E27FC236}">
              <a16:creationId xmlns:a16="http://schemas.microsoft.com/office/drawing/2014/main" id="{A317C212-4E3B-4B45-58A2-49B5B0318D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525248</xdr:colOff>
      <xdr:row>131</xdr:row>
      <xdr:rowOff>2445</xdr:rowOff>
    </xdr:from>
    <xdr:to>
      <xdr:col>29</xdr:col>
      <xdr:colOff>138546</xdr:colOff>
      <xdr:row>162</xdr:row>
      <xdr:rowOff>103909</xdr:rowOff>
    </xdr:to>
    <xdr:graphicFrame macro="">
      <xdr:nvGraphicFramePr>
        <xdr:cNvPr id="7" name="Chart 6">
          <a:extLst>
            <a:ext uri="{FF2B5EF4-FFF2-40B4-BE49-F238E27FC236}">
              <a16:creationId xmlns:a16="http://schemas.microsoft.com/office/drawing/2014/main" id="{18C6242E-4C33-34AB-306F-10ABF01CD1A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948800</xdr:colOff>
      <xdr:row>172</xdr:row>
      <xdr:rowOff>1458</xdr:rowOff>
    </xdr:from>
    <xdr:to>
      <xdr:col>29</xdr:col>
      <xdr:colOff>263236</xdr:colOff>
      <xdr:row>203</xdr:row>
      <xdr:rowOff>108859</xdr:rowOff>
    </xdr:to>
    <xdr:graphicFrame macro="">
      <xdr:nvGraphicFramePr>
        <xdr:cNvPr id="8" name="Chart 7">
          <a:extLst>
            <a:ext uri="{FF2B5EF4-FFF2-40B4-BE49-F238E27FC236}">
              <a16:creationId xmlns:a16="http://schemas.microsoft.com/office/drawing/2014/main" id="{124AEDC2-F4F3-59F3-A342-DB6C49B7DD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192566</xdr:colOff>
      <xdr:row>18</xdr:row>
      <xdr:rowOff>103673</xdr:rowOff>
    </xdr:from>
    <xdr:to>
      <xdr:col>5</xdr:col>
      <xdr:colOff>454509</xdr:colOff>
      <xdr:row>44</xdr:row>
      <xdr:rowOff>24301</xdr:rowOff>
    </xdr:to>
    <xdr:graphicFrame macro="">
      <xdr:nvGraphicFramePr>
        <xdr:cNvPr id="7" name="Chart 6">
          <a:extLst>
            <a:ext uri="{FF2B5EF4-FFF2-40B4-BE49-F238E27FC236}">
              <a16:creationId xmlns:a16="http://schemas.microsoft.com/office/drawing/2014/main" id="{6A01CCB5-D04F-4942-B095-28CB823138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190589</xdr:colOff>
      <xdr:row>18</xdr:row>
      <xdr:rowOff>101694</xdr:rowOff>
    </xdr:from>
    <xdr:to>
      <xdr:col>11</xdr:col>
      <xdr:colOff>223932</xdr:colOff>
      <xdr:row>44</xdr:row>
      <xdr:rowOff>22322</xdr:rowOff>
    </xdr:to>
    <xdr:graphicFrame macro="">
      <xdr:nvGraphicFramePr>
        <xdr:cNvPr id="8" name="Chart 7">
          <a:extLst>
            <a:ext uri="{FF2B5EF4-FFF2-40B4-BE49-F238E27FC236}">
              <a16:creationId xmlns:a16="http://schemas.microsoft.com/office/drawing/2014/main" id="{F9C90E79-57ED-4685-A69F-8C4790CFEC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493409</xdr:colOff>
      <xdr:row>18</xdr:row>
      <xdr:rowOff>100703</xdr:rowOff>
    </xdr:from>
    <xdr:to>
      <xdr:col>17</xdr:col>
      <xdr:colOff>472323</xdr:colOff>
      <xdr:row>44</xdr:row>
      <xdr:rowOff>21331</xdr:rowOff>
    </xdr:to>
    <xdr:graphicFrame macro="">
      <xdr:nvGraphicFramePr>
        <xdr:cNvPr id="9" name="Chart 8">
          <a:extLst>
            <a:ext uri="{FF2B5EF4-FFF2-40B4-BE49-F238E27FC236}">
              <a16:creationId xmlns:a16="http://schemas.microsoft.com/office/drawing/2014/main" id="{84E2E463-4BAA-4610-9D27-F10FD1874E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143826</xdr:colOff>
      <xdr:row>18</xdr:row>
      <xdr:rowOff>78933</xdr:rowOff>
    </xdr:from>
    <xdr:to>
      <xdr:col>23</xdr:col>
      <xdr:colOff>471055</xdr:colOff>
      <xdr:row>44</xdr:row>
      <xdr:rowOff>27709</xdr:rowOff>
    </xdr:to>
    <xdr:graphicFrame macro="">
      <xdr:nvGraphicFramePr>
        <xdr:cNvPr id="10" name="Chart 9">
          <a:extLst>
            <a:ext uri="{FF2B5EF4-FFF2-40B4-BE49-F238E27FC236}">
              <a16:creationId xmlns:a16="http://schemas.microsoft.com/office/drawing/2014/main" id="{70357B15-9DC3-4ED0-B67E-70D155ACF8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7</xdr:col>
      <xdr:colOff>498082</xdr:colOff>
      <xdr:row>7</xdr:row>
      <xdr:rowOff>95509</xdr:rowOff>
    </xdr:from>
    <xdr:to>
      <xdr:col>15</xdr:col>
      <xdr:colOff>562222</xdr:colOff>
      <xdr:row>33</xdr:row>
      <xdr:rowOff>30694</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0.00943</cdr:x>
      <cdr:y>0.01429</cdr:y>
    </cdr:from>
    <cdr:to>
      <cdr:x>0.00943</cdr:x>
      <cdr:y>0.01429</cdr:y>
    </cdr:to>
    <cdr:sp macro="" textlink="">
      <cdr:nvSpPr>
        <cdr:cNvPr id="2" name="#UpSlide#ChartHasBeenCopiedWithUpSlideActive#" hidden="1">
          <a:extLst xmlns:a="http://schemas.openxmlformats.org/drawingml/2006/main">
            <a:ext uri="{FF2B5EF4-FFF2-40B4-BE49-F238E27FC236}">
              <a16:creationId xmlns:a16="http://schemas.microsoft.com/office/drawing/2014/main" id="{932D2662-9CE0-4583-90D2-8ED26E485D73}"/>
            </a:ext>
          </a:extLst>
        </cdr:cNvPr>
        <cdr:cNvSpPr/>
      </cdr:nvSpPr>
      <cdr:spPr>
        <a:xfrm xmlns:a="http://schemas.openxmlformats.org/drawingml/2006/main">
          <a:off x="50800" y="50800"/>
          <a:ext cx="0" cy="0"/>
        </a:xfrm>
        <a:prstGeom xmlns:a="http://schemas.openxmlformats.org/drawingml/2006/main" prst="rect">
          <a:avLst/>
        </a:prstGeom>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userShapes>
</file>

<file path=xl/persons/person.xml><?xml version="1.0" encoding="utf-8"?>
<personList xmlns="http://schemas.microsoft.com/office/spreadsheetml/2018/threadedcomments" xmlns:x="http://schemas.openxmlformats.org/spreadsheetml/2006/main">
  <person displayName="Bilal Noorgat" id="{F1E62710-728A-4ABE-A5D6-13BAF78665E7}" userId="Bilal Noorgat"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Comps" displayName="Comps" ref="B12:P27" totalsRowShown="0" headerRowDxfId="191" dataDxfId="190">
  <autoFilter ref="B12:P27" xr:uid="{00000000-0009-0000-0100-000003000000}"/>
  <sortState xmlns:xlrd2="http://schemas.microsoft.com/office/spreadsheetml/2017/richdata2" ref="B13:P27">
    <sortCondition ref="E12:E27"/>
  </sortState>
  <tableColumns count="15">
    <tableColumn id="1" xr3:uid="{00000000-0010-0000-0600-000001000000}" name="Name" dataDxfId="189" dataCellStyle="Input 3">
      <calculatedColumnFormula array="1">IF(Comps[[#This Row],[Ticker]]="","",PROPER(_xll.ciqfunctions.udf.CIQ(Comps[[#This Row],[Ticker]],"IQ_COMPANY_NAME")))</calculatedColumnFormula>
    </tableColumn>
    <tableColumn id="2" xr3:uid="{00000000-0010-0000-0600-000002000000}" name="Ticker" dataDxfId="188" dataCellStyle="Input"/>
    <tableColumn id="3" xr3:uid="{00000000-0010-0000-0600-000003000000}" name="Description" dataDxfId="187" dataCellStyle="Input 3">
      <calculatedColumnFormula array="1">IF(Comps[[#This Row],[Ticker]]="","",IF(_xll.ciqfunctions.udf.CIQ(Comps[[#This Row],[Ticker]],"IQ_BUSINESS_DESCRIPTION")=0,"-",_xll.ciqfunctions.udf.CIQ(Comps[[#This Row],[Ticker]],"IQ_BUSINESS_DESCRIPTION")))</calculatedColumnFormula>
    </tableColumn>
    <tableColumn id="4" xr3:uid="{00000000-0010-0000-0600-000004000000}" name="Market Cap" dataDxfId="186" dataCellStyle="Comma">
      <calculatedColumnFormula array="1">IF(Comps[[#This Row],[Ticker]]="","",IFERROR(_xll.ciqfunctions.udf.CIQ(Comps[[#This Row],[Ticker]],"IQ_MARKETCAP",$C$5,$C$6)*$C$8,0))</calculatedColumnFormula>
    </tableColumn>
    <tableColumn id="19" xr3:uid="{00000000-0010-0000-0600-000013000000}" name="EBIT margin" dataDxfId="185">
      <calculatedColumnFormula array="1">IF(Comps[[#This Row],[Ticker]]="","",IFERROR(_xll.ciqfunctions.udf.CIQ(Comps[[#This Row],[Ticker]],"IQ_EBIT_MARGIN",IQ_FY,$C$5)/100,"NA"))</calculatedColumnFormula>
    </tableColumn>
    <tableColumn id="18" xr3:uid="{00000000-0010-0000-0600-000012000000}" name="CAGR" dataDxfId="184">
      <calculatedColumnFormula>IF(Comps[[#This Row],[Ticker]]="","",'Comps Financials'!O9)</calculatedColumnFormula>
    </tableColumn>
    <tableColumn id="5" xr3:uid="{00000000-0010-0000-0600-000005000000}" name="Selected Multiple" dataDxfId="183" dataCellStyle="0.0x">
      <calculatedColumnFormula array="1">IF(Comps[[#This Row],[Ticker]]="","",_xll.ciqfunctions.udf.CIQ(Comps[[#This Row],[Ticker]],$I$5,$I$6,$C$5))</calculatedColumnFormula>
    </tableColumn>
    <tableColumn id="6" xr3:uid="{00000000-0010-0000-0600-000006000000}" name="DE ratio" dataDxfId="182" dataCellStyle="Percent 5">
      <calculatedColumnFormula>IF(Comps[[#This Row],[Ticker]]="","",IFERROR(Comps[[#This Row],[Total debt]]/Comps[[#This Row],[Market Cap]],"NA"))</calculatedColumnFormula>
    </tableColumn>
    <tableColumn id="7" xr3:uid="{00000000-0010-0000-0600-000007000000}" name="Unlv.beta" dataDxfId="181" dataCellStyle="Normal 27">
      <calculatedColumnFormula>IFERROR(Comps[[#This Row],[Adj Beta]]/(1+((1-Comps[[#This Row],[Tax rate]])*Comps[[#This Row],[DE ratio]])),"NA")</calculatedColumnFormula>
    </tableColumn>
    <tableColumn id="23" xr3:uid="{00000000-0010-0000-0600-000017000000}" name="Adj Beta" dataDxfId="180" dataCellStyle="Percent 5">
      <calculatedColumnFormula array="1">IF(Comps[[#This Row],[Ticker]]="","",_xll.ciqfunctions.udf.CIQ(Comps[[#This Row],[Ticker]],"IQ_CUSTOM_BETA","-"&amp;$F$5,$C$5,$F$6))</calculatedColumnFormula>
    </tableColumn>
    <tableColumn id="8" xr3:uid="{00000000-0010-0000-0600-000008000000}" name="Tax rate" dataDxfId="179" dataCellStyle="Percent 5">
      <calculatedColumnFormula array="1">IF(Comps[[#This Row],[Ticker]]="","",IF($F$7="S",M13,IFERROR(_xll.ciqfunctions.udf.CIQ(Comps[[#This Row],[Ticker]],"IQ_EFFECT_TAX_RATE",IQ_FY,$C$5)/100,"NA")))</calculatedColumnFormula>
    </tableColumn>
    <tableColumn id="9" xr3:uid="{00000000-0010-0000-0600-000009000000}" name="Stat Tax rate" dataDxfId="178" dataCellStyle="Percent 5"/>
    <tableColumn id="10" xr3:uid="{00000000-0010-0000-0600-00000A000000}" name="Total debt" dataDxfId="177">
      <calculatedColumnFormula array="1">IF(Comps[[#This Row],[Ticker]]="","",IFERROR(_xll.ciqfunctions.udf.CIQ(Comps[[#This Row],[Ticker]],"IQ_TOTAL_DEBT",IQ_FQ,$C$5,"LFR",,$C$6)*$C$8,0))</calculatedColumnFormula>
    </tableColumn>
    <tableColumn id="11" xr3:uid="{00000000-0010-0000-0600-00000B000000}" name="Exchange" dataDxfId="176" dataCellStyle="Input 3">
      <calculatedColumnFormula array="1">IF(Comps[[#This Row],[Ticker]]="","",IF(_xll.ciqfunctions.udf.CIQ(Comps[[#This Row],[Ticker]],"IQ_EXCHANGE")=0,"-",_xll.ciqfunctions.udf.CIQ(Comps[[#This Row],[Ticker]],"IQ_EXCHANGE")))</calculatedColumnFormula>
    </tableColumn>
    <tableColumn id="12" xr3:uid="{00000000-0010-0000-0600-00000C000000}" name="Country" dataDxfId="175" dataCellStyle="Input 3">
      <calculatedColumnFormula array="1">IF(Comps[[#This Row],[Ticker]]="","",IF(_xll.ciqfunctions.udf.CIQ(Comps[[#This Row],[Ticker]],"IQ_COUNTRY_NAME")=0,"-",_xll.ciqfunctions.udf.CIQ(Comps[[#This Row],[Ticker]],"IQ_COUNTRY_NAME")))</calculatedColumnFormula>
    </tableColumn>
  </tableColumns>
  <tableStyleInfo name="TableStyleLight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 displayName="Table4" ref="B8:G25" totalsRowShown="0" headerRowDxfId="174" dataDxfId="172" headerRowBorderDxfId="173">
  <sortState xmlns:xlrd2="http://schemas.microsoft.com/office/spreadsheetml/2017/richdata2" ref="B9:F25">
    <sortCondition ref="B8:B25"/>
  </sortState>
  <tableColumns count="6">
    <tableColumn id="1" xr3:uid="{00000000-0010-0000-0700-000001000000}" name="Name" dataDxfId="171"/>
    <tableColumn id="2" xr3:uid="{00000000-0010-0000-0700-000002000000}" name="Ticker" dataDxfId="170"/>
    <tableColumn id="3" xr3:uid="{00000000-0010-0000-0700-000003000000}" name="Market Cap" dataDxfId="169" dataCellStyle="Comma"/>
    <tableColumn id="4" xr3:uid="{00000000-0010-0000-0700-000004000000}" name="EBIT margin_x000a_(%)" dataDxfId="168"/>
    <tableColumn id="5" xr3:uid="{00000000-0010-0000-0700-000005000000}" name="3 years Sales CAGR (%)" dataDxfId="167"/>
    <tableColumn id="6" xr3:uid="{0B3E3F3D-3C7C-4B93-9FAC-ECFCC8612451}" name="Selected  multiple" dataDxfId="166">
      <calculatedColumnFormula>'Comps'!H12</calculatedColumnFormula>
    </tableColumn>
  </tableColumns>
  <tableStyleInfo name="TableStyleLight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4" dT="2022-03-16T15:00:22.41" personId="{F1E62710-728A-4ABE-A5D6-13BAF78665E7}" id="{28943A0E-C983-4996-8FAD-2393C46A944E}">
    <text>Can more countries if needed. Expand row and add CIQ ID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microsoft.com/office/2017/10/relationships/threadedComment" Target="../threadedComments/threadedComment1.xml"/><Relationship Id="rId5" Type="http://schemas.openxmlformats.org/officeDocument/2006/relationships/comments" Target="../comments4.xml"/><Relationship Id="rId4" Type="http://schemas.openxmlformats.org/officeDocument/2006/relationships/table" Target="../tables/table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43"/>
  <sheetViews>
    <sheetView showGridLines="0" zoomScale="115" zoomScaleNormal="115" workbookViewId="0">
      <selection activeCell="D6" sqref="D6"/>
    </sheetView>
  </sheetViews>
  <sheetFormatPr defaultColWidth="0" defaultRowHeight="0" customHeight="1" zeroHeight="1"/>
  <cols>
    <col min="1" max="1" width="7" customWidth="1"/>
    <col min="2" max="2" width="19.6640625" customWidth="1"/>
    <col min="3" max="3" width="5.44140625" customWidth="1"/>
    <col min="4" max="4" width="20" customWidth="1"/>
    <col min="5" max="5" width="14.33203125" bestFit="1" customWidth="1"/>
    <col min="6" max="13" width="9.109375" customWidth="1"/>
    <col min="14" max="16384" width="9.109375" hidden="1"/>
  </cols>
  <sheetData>
    <row r="1" spans="1:12" ht="33.65" customHeight="1">
      <c r="B1" s="2" t="s">
        <v>556</v>
      </c>
      <c r="C1" s="2"/>
      <c r="D1" s="2"/>
      <c r="E1" s="2"/>
    </row>
    <row r="2" spans="1:12" ht="10"/>
    <row r="3" spans="1:12" ht="19">
      <c r="B3" s="16" t="s">
        <v>11</v>
      </c>
    </row>
    <row r="4" spans="1:12" ht="14">
      <c r="B4" s="3"/>
      <c r="C4" s="4"/>
      <c r="D4" s="4"/>
      <c r="E4" s="5"/>
      <c r="F4" s="4"/>
      <c r="G4" s="4"/>
      <c r="H4" s="4"/>
      <c r="I4" s="4"/>
      <c r="J4" s="4"/>
      <c r="K4" s="4"/>
      <c r="L4" s="4"/>
    </row>
    <row r="5" spans="1:12" ht="15.5">
      <c r="B5" s="13" t="s">
        <v>12</v>
      </c>
      <c r="C5" s="4"/>
      <c r="D5" s="150" t="s">
        <v>576</v>
      </c>
      <c r="E5" s="5"/>
      <c r="F5" s="4"/>
      <c r="G5" s="4"/>
      <c r="H5" s="4"/>
      <c r="I5" s="4"/>
      <c r="J5" s="4"/>
      <c r="K5" s="4"/>
      <c r="L5" s="4"/>
    </row>
    <row r="6" spans="1:12" ht="15.5">
      <c r="B6" s="13" t="s">
        <v>14</v>
      </c>
      <c r="C6" s="4"/>
      <c r="D6" s="150"/>
      <c r="E6" s="14" t="s">
        <v>15</v>
      </c>
      <c r="F6" s="4"/>
      <c r="G6" s="4"/>
      <c r="H6" s="4"/>
      <c r="I6" s="4"/>
      <c r="J6" s="4"/>
      <c r="K6" s="4"/>
      <c r="L6" s="4"/>
    </row>
    <row r="7" spans="1:12" ht="15.5">
      <c r="B7" s="13" t="s">
        <v>20</v>
      </c>
      <c r="C7" s="4"/>
      <c r="D7" s="150"/>
      <c r="E7" s="14" t="s">
        <v>21</v>
      </c>
      <c r="F7" s="4"/>
      <c r="G7" s="4"/>
      <c r="H7" s="4"/>
      <c r="I7" s="4"/>
      <c r="J7" s="4"/>
      <c r="K7" s="4"/>
      <c r="L7" s="4"/>
    </row>
    <row r="8" spans="1:12" ht="15.5">
      <c r="B8" s="13" t="s">
        <v>1</v>
      </c>
      <c r="C8" s="6"/>
      <c r="D8" s="150"/>
      <c r="E8" s="14" t="s">
        <v>16</v>
      </c>
      <c r="F8" s="5"/>
      <c r="G8" s="4"/>
      <c r="H8" s="4"/>
      <c r="I8" s="4"/>
      <c r="J8" s="4"/>
      <c r="K8" s="4"/>
      <c r="L8" s="4"/>
    </row>
    <row r="9" spans="1:12" ht="15.5">
      <c r="B9" s="13" t="s">
        <v>3</v>
      </c>
      <c r="C9" s="4"/>
      <c r="D9" s="150"/>
      <c r="E9" s="14" t="s">
        <v>17</v>
      </c>
      <c r="F9" s="5"/>
      <c r="G9" s="4"/>
      <c r="H9" s="4"/>
      <c r="I9" s="4"/>
      <c r="J9" s="4"/>
      <c r="K9" s="4"/>
      <c r="L9" s="4"/>
    </row>
    <row r="10" spans="1:12" ht="15.5">
      <c r="B10" s="13" t="s">
        <v>4</v>
      </c>
      <c r="C10" s="4"/>
      <c r="D10" s="150"/>
      <c r="E10" s="14" t="s">
        <v>18</v>
      </c>
      <c r="F10" s="5"/>
      <c r="G10" s="4"/>
      <c r="H10" s="4"/>
      <c r="I10" s="4"/>
      <c r="J10" s="4"/>
      <c r="K10" s="4"/>
      <c r="L10" s="4"/>
    </row>
    <row r="11" spans="1:12" ht="10"/>
    <row r="12" spans="1:12" ht="19">
      <c r="B12" s="16" t="s">
        <v>19</v>
      </c>
      <c r="D12" s="7"/>
    </row>
    <row r="13" spans="1:12" ht="10"/>
    <row r="14" spans="1:12" ht="10">
      <c r="B14" s="10" t="s">
        <v>5</v>
      </c>
      <c r="D14" t="s">
        <v>6</v>
      </c>
    </row>
    <row r="15" spans="1:12" ht="10">
      <c r="A15" s="9"/>
      <c r="B15" s="8"/>
    </row>
    <row r="16" spans="1:12" ht="10">
      <c r="B16" s="11" t="s">
        <v>325</v>
      </c>
      <c r="D16" t="s">
        <v>327</v>
      </c>
    </row>
    <row r="17" spans="2:4" ht="10">
      <c r="B17" s="8"/>
    </row>
    <row r="18" spans="2:4" ht="10.5">
      <c r="B18" s="12" t="s">
        <v>7</v>
      </c>
      <c r="D18" t="s">
        <v>8</v>
      </c>
    </row>
    <row r="19" spans="2:4" ht="10">
      <c r="B19" s="8"/>
    </row>
    <row r="20" spans="2:4" ht="10">
      <c r="B20" s="22" t="s">
        <v>10</v>
      </c>
      <c r="D20" t="s">
        <v>9</v>
      </c>
    </row>
    <row r="21" spans="2:4" ht="10"/>
    <row r="22" spans="2:4" ht="10"/>
    <row r="23" spans="2:4" ht="10" hidden="1"/>
    <row r="24" spans="2:4" ht="10" hidden="1"/>
    <row r="25" spans="2:4" ht="10" hidden="1"/>
    <row r="26" spans="2:4" ht="10" hidden="1"/>
    <row r="27" spans="2:4" ht="10" hidden="1"/>
    <row r="28" spans="2:4" ht="10" hidden="1"/>
    <row r="29" spans="2:4" ht="10" hidden="1"/>
    <row r="30" spans="2:4" ht="10" hidden="1"/>
    <row r="31" spans="2:4" ht="10" hidden="1"/>
    <row r="32" spans="2:4" ht="10" hidden="1"/>
    <row r="33" ht="10.4" hidden="1" customHeight="1"/>
    <row r="34" ht="10.4" hidden="1" customHeight="1"/>
    <row r="35" ht="10.4" hidden="1" customHeight="1"/>
    <row r="36" ht="10.4" hidden="1" customHeight="1"/>
    <row r="37" ht="10.4" hidden="1" customHeight="1"/>
    <row r="38" ht="10.4" hidden="1" customHeight="1"/>
    <row r="39" ht="10.4" hidden="1" customHeight="1"/>
    <row r="40" ht="10.4" hidden="1" customHeight="1"/>
    <row r="41" ht="10.4" hidden="1" customHeight="1"/>
    <row r="42" ht="10.4" hidden="1" customHeight="1"/>
    <row r="43" ht="10.4" hidden="1" customHeight="1"/>
  </sheetData>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tint="0.59999389629810485"/>
  </sheetPr>
  <dimension ref="A1:J22"/>
  <sheetViews>
    <sheetView showGridLines="0" zoomScale="110" zoomScaleNormal="110" workbookViewId="0">
      <selection activeCell="D14" sqref="D14"/>
    </sheetView>
  </sheetViews>
  <sheetFormatPr defaultColWidth="0" defaultRowHeight="10" zeroHeight="1"/>
  <cols>
    <col min="1" max="1" width="9.109375" customWidth="1"/>
    <col min="2" max="2" width="25.6640625" customWidth="1"/>
    <col min="3" max="3" width="12.44140625" customWidth="1"/>
    <col min="4" max="4" width="24.109375" customWidth="1"/>
    <col min="5" max="7" width="9.109375" customWidth="1"/>
    <col min="8" max="8" width="16.44140625" customWidth="1"/>
    <col min="9" max="10" width="9.109375" customWidth="1"/>
    <col min="11" max="16384" width="9.109375" hidden="1"/>
  </cols>
  <sheetData>
    <row r="1" spans="2:8" ht="27.5">
      <c r="B1" s="18" t="s">
        <v>11</v>
      </c>
    </row>
    <row r="2" spans="2:8"/>
    <row r="3" spans="2:8" ht="19">
      <c r="B3" s="17" t="s">
        <v>25</v>
      </c>
      <c r="C3" s="19" t="s">
        <v>26</v>
      </c>
      <c r="D3" s="25" t="s">
        <v>27</v>
      </c>
      <c r="E3" s="20"/>
    </row>
    <row r="4" spans="2:8">
      <c r="B4" s="102" t="s">
        <v>30</v>
      </c>
      <c r="C4" s="21" t="s">
        <v>2</v>
      </c>
      <c r="D4" s="22" t="str">
        <f>Subject</f>
        <v>Netflix</v>
      </c>
      <c r="E4" s="23" t="s">
        <v>31</v>
      </c>
    </row>
    <row r="5" spans="2:8">
      <c r="B5" s="102" t="s">
        <v>28</v>
      </c>
      <c r="C5" s="21" t="s">
        <v>28</v>
      </c>
      <c r="D5" s="1">
        <v>1</v>
      </c>
      <c r="E5" s="23" t="s">
        <v>29</v>
      </c>
    </row>
    <row r="6" spans="2:8">
      <c r="B6" s="102" t="s">
        <v>33</v>
      </c>
      <c r="C6" s="21" t="s">
        <v>28</v>
      </c>
      <c r="D6" s="143">
        <v>0.25</v>
      </c>
      <c r="E6" s="26" t="s">
        <v>34</v>
      </c>
    </row>
    <row r="7" spans="2:8">
      <c r="B7" s="102" t="s">
        <v>35</v>
      </c>
      <c r="C7" s="21" t="s">
        <v>35</v>
      </c>
      <c r="D7" s="144" t="s">
        <v>37</v>
      </c>
      <c r="E7" s="26" t="s">
        <v>36</v>
      </c>
    </row>
    <row r="8" spans="2:8">
      <c r="B8" s="102" t="s">
        <v>38</v>
      </c>
      <c r="D8" s="144" t="s">
        <v>40</v>
      </c>
      <c r="E8" s="26" t="s">
        <v>39</v>
      </c>
    </row>
    <row r="9" spans="2:8"/>
    <row r="10" spans="2:8" ht="19">
      <c r="B10" s="17" t="s">
        <v>273</v>
      </c>
    </row>
    <row r="11" spans="2:8">
      <c r="B11" s="102" t="s">
        <v>13</v>
      </c>
      <c r="C11" s="21" t="s">
        <v>0</v>
      </c>
      <c r="D11" s="145">
        <v>46022</v>
      </c>
      <c r="E11" s="23" t="s">
        <v>13</v>
      </c>
      <c r="H11" s="39"/>
    </row>
    <row r="12" spans="2:8">
      <c r="B12" s="102" t="s">
        <v>32</v>
      </c>
      <c r="C12" s="21" t="s">
        <v>0</v>
      </c>
      <c r="D12" s="145">
        <v>46387</v>
      </c>
      <c r="E12" s="24" t="s">
        <v>96</v>
      </c>
      <c r="H12" s="151" t="s">
        <v>557</v>
      </c>
    </row>
    <row r="13" spans="2:8">
      <c r="B13" s="102" t="s">
        <v>46</v>
      </c>
      <c r="C13" s="21" t="s">
        <v>47</v>
      </c>
      <c r="D13" s="101">
        <v>5</v>
      </c>
      <c r="E13" s="26" t="s">
        <v>51</v>
      </c>
    </row>
    <row r="14" spans="2:8">
      <c r="B14" s="102" t="s">
        <v>48</v>
      </c>
      <c r="C14" s="21" t="s">
        <v>47</v>
      </c>
      <c r="D14" s="101">
        <v>5</v>
      </c>
      <c r="E14" s="26" t="s">
        <v>52</v>
      </c>
    </row>
    <row r="15" spans="2:8"/>
    <row r="16" spans="2:8"/>
    <row r="17"/>
    <row r="18"/>
    <row r="19"/>
    <row r="20"/>
    <row r="21"/>
    <row r="22"/>
  </sheetData>
  <dataValidations count="1">
    <dataValidation type="list" allowBlank="1" showInputMessage="1" showErrorMessage="1" sqref="D8:D10" xr:uid="{00000000-0002-0000-0200-000000000000}">
      <formula1>"k,m,b"</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5" tint="0.59999389629810485"/>
  </sheetPr>
  <dimension ref="A1:Y360"/>
  <sheetViews>
    <sheetView showGridLines="0" zoomScaleNormal="100" workbookViewId="0">
      <selection activeCell="N205" sqref="N205"/>
    </sheetView>
  </sheetViews>
  <sheetFormatPr defaultColWidth="0" defaultRowHeight="10" outlineLevelRow="1"/>
  <cols>
    <col min="1" max="1" width="11.6640625" style="250" bestFit="1" customWidth="1"/>
    <col min="2" max="2" width="29" customWidth="1"/>
    <col min="3" max="3" width="13.44140625" bestFit="1" customWidth="1"/>
    <col min="4" max="14" width="11.6640625" customWidth="1"/>
    <col min="15" max="15" width="15.6640625" customWidth="1"/>
    <col min="16" max="25" width="9.109375" customWidth="1"/>
    <col min="26" max="26" width="9.109375" hidden="1" customWidth="1"/>
    <col min="27" max="16384" width="9.109375" hidden="1"/>
  </cols>
  <sheetData>
    <row r="1" spans="1:15" ht="27.5">
      <c r="B1" s="18" t="s">
        <v>79</v>
      </c>
    </row>
    <row r="2" spans="1:15" ht="10.5">
      <c r="B2" s="19"/>
    </row>
    <row r="3" spans="1:15">
      <c r="B3" s="61"/>
    </row>
    <row r="4" spans="1:15">
      <c r="B4" s="61"/>
    </row>
    <row r="5" spans="1:15">
      <c r="B5" s="61"/>
    </row>
    <row r="6" spans="1:15">
      <c r="B6" s="61"/>
    </row>
    <row r="7" spans="1:15">
      <c r="B7" s="61"/>
    </row>
    <row r="10" spans="1:15">
      <c r="B10" t="s">
        <v>38</v>
      </c>
      <c r="C10" s="35">
        <f>IF(Input!$D$8="k",1000,IF(Input!$D$8="m",1000000,1000000000))</f>
        <v>1000</v>
      </c>
    </row>
    <row r="11" spans="1:15">
      <c r="B11" t="s">
        <v>274</v>
      </c>
      <c r="N11" s="857">
        <f>C0!N17</f>
        <v>12</v>
      </c>
      <c r="O11" s="93">
        <f>N11/12</f>
        <v>1</v>
      </c>
    </row>
    <row r="12" spans="1:15">
      <c r="A12" s="251"/>
      <c r="B12" t="s">
        <v>275</v>
      </c>
      <c r="N12" s="85" t="str">
        <f>IF(N11=12,"Y","N")</f>
        <v>Y</v>
      </c>
    </row>
    <row r="13" spans="1:15">
      <c r="A13" s="251">
        <v>1</v>
      </c>
      <c r="B13" s="89" t="s">
        <v>108</v>
      </c>
      <c r="C13" s="157"/>
      <c r="D13" s="30">
        <f t="shared" ref="D13:L13" si="0">E13-1</f>
        <v>-10</v>
      </c>
      <c r="E13" s="30">
        <f t="shared" si="0"/>
        <v>-9</v>
      </c>
      <c r="F13" s="30">
        <f t="shared" si="0"/>
        <v>-8</v>
      </c>
      <c r="G13" s="30">
        <f t="shared" si="0"/>
        <v>-7</v>
      </c>
      <c r="H13" s="30">
        <f t="shared" si="0"/>
        <v>-6</v>
      </c>
      <c r="I13" s="30">
        <f t="shared" si="0"/>
        <v>-5</v>
      </c>
      <c r="J13" s="30">
        <f t="shared" si="0"/>
        <v>-4</v>
      </c>
      <c r="K13" s="30">
        <f t="shared" si="0"/>
        <v>-3</v>
      </c>
      <c r="L13" s="30">
        <f t="shared" si="0"/>
        <v>-2</v>
      </c>
      <c r="M13" s="30">
        <f>N13-1</f>
        <v>-1</v>
      </c>
      <c r="N13" s="30">
        <f>IF(N12="Y",0,1)</f>
        <v>0</v>
      </c>
    </row>
    <row r="14" spans="1:15" ht="10.5">
      <c r="A14" s="251">
        <v>2</v>
      </c>
      <c r="B14" s="653" t="str">
        <f>Subject&amp;"'s historical P&amp;L"</f>
        <v>Netflix's historical P&amp;L</v>
      </c>
      <c r="C14" s="653"/>
      <c r="D14" s="653"/>
      <c r="E14" s="653"/>
      <c r="F14" s="653"/>
      <c r="G14" s="653"/>
      <c r="H14" s="653"/>
      <c r="I14" s="653"/>
      <c r="J14" s="653"/>
      <c r="K14" s="653"/>
      <c r="L14" s="653"/>
      <c r="M14" s="653"/>
      <c r="N14" s="653"/>
      <c r="O14" s="653"/>
    </row>
    <row r="15" spans="1:15" ht="10.5">
      <c r="A15" s="251">
        <v>3</v>
      </c>
      <c r="B15" s="418" t="str">
        <f>"("&amp;curr&amp;" "&amp;Input!D8&amp;")"</f>
        <v>(USD k)</v>
      </c>
      <c r="C15" s="419"/>
      <c r="D15" s="419" t="str">
        <f>C0!D21</f>
        <v>FYTE</v>
      </c>
      <c r="E15" s="419" t="str">
        <f>C0!E21</f>
        <v>FYTE</v>
      </c>
      <c r="F15" s="419" t="str">
        <f>C0!F21</f>
        <v>FYTE</v>
      </c>
      <c r="G15" s="419" t="str">
        <f>C0!G21</f>
        <v>FYTE</v>
      </c>
      <c r="H15" s="419" t="str">
        <f>C0!H21</f>
        <v>FYTE</v>
      </c>
      <c r="I15" s="419" t="str">
        <f>C0!I21</f>
        <v>FYTE</v>
      </c>
      <c r="J15" s="419" t="str">
        <f>C0!J21</f>
        <v>FY21</v>
      </c>
      <c r="K15" s="419" t="str">
        <f>C0!K21</f>
        <v>FY22</v>
      </c>
      <c r="L15" s="419" t="str">
        <f>C0!L21</f>
        <v>FY23</v>
      </c>
      <c r="M15" s="419" t="str">
        <f>C0!M21</f>
        <v>FY24</v>
      </c>
      <c r="N15" s="419" t="str">
        <f>C0!N21</f>
        <v>FY25</v>
      </c>
      <c r="O15" s="420" t="s">
        <v>242</v>
      </c>
    </row>
    <row r="16" spans="1:15">
      <c r="A16" s="251">
        <v>4</v>
      </c>
      <c r="B16" s="421" t="s">
        <v>150</v>
      </c>
      <c r="C16" s="13"/>
      <c r="D16" s="422">
        <f>SUM(D17:D20)</f>
        <v>0</v>
      </c>
      <c r="E16" s="422">
        <f t="shared" ref="E16:N16" si="1">SUM(E17:E20)</f>
        <v>0</v>
      </c>
      <c r="F16" s="422">
        <f t="shared" si="1"/>
        <v>0</v>
      </c>
      <c r="G16" s="422">
        <f t="shared" si="1"/>
        <v>0</v>
      </c>
      <c r="H16" s="422">
        <f t="shared" si="1"/>
        <v>0</v>
      </c>
      <c r="I16" s="422">
        <f t="shared" si="1"/>
        <v>0</v>
      </c>
      <c r="J16" s="422">
        <f t="shared" si="1"/>
        <v>0</v>
      </c>
      <c r="K16" s="422">
        <f t="shared" si="1"/>
        <v>0</v>
      </c>
      <c r="L16" s="422">
        <f t="shared" si="1"/>
        <v>0</v>
      </c>
      <c r="M16" s="422">
        <f t="shared" si="1"/>
        <v>0</v>
      </c>
      <c r="N16" s="422">
        <f t="shared" si="1"/>
        <v>0</v>
      </c>
      <c r="O16" s="424" t="str">
        <f>IFERROR(IF($N$12="Y","n.m",N16/Forecast!D17),"")</f>
        <v>n.m</v>
      </c>
    </row>
    <row r="17" spans="1:16">
      <c r="A17" s="251">
        <v>5</v>
      </c>
      <c r="B17" s="425" t="s">
        <v>395</v>
      </c>
      <c r="C17" s="13"/>
      <c r="D17" s="839"/>
      <c r="E17" s="840"/>
      <c r="F17" s="840"/>
      <c r="G17" s="840"/>
      <c r="H17" s="840"/>
      <c r="I17" s="840"/>
      <c r="J17" s="840"/>
      <c r="K17" s="840"/>
      <c r="L17" s="840"/>
      <c r="M17" s="840"/>
      <c r="N17" s="840"/>
      <c r="O17" s="426" t="str">
        <f>IFERROR(IF($N$12="Y","n.m",N17/Forecast!D18),"")</f>
        <v>n.m</v>
      </c>
      <c r="P17" s="152" t="s">
        <v>564</v>
      </c>
    </row>
    <row r="18" spans="1:16">
      <c r="A18" s="251">
        <v>6</v>
      </c>
      <c r="B18" s="425" t="s">
        <v>396</v>
      </c>
      <c r="C18" s="13"/>
      <c r="D18" s="839"/>
      <c r="E18" s="840"/>
      <c r="F18" s="840"/>
      <c r="G18" s="840"/>
      <c r="H18" s="840"/>
      <c r="I18" s="840"/>
      <c r="J18" s="840"/>
      <c r="K18" s="840"/>
      <c r="L18" s="840"/>
      <c r="M18" s="840"/>
      <c r="N18" s="840"/>
      <c r="O18" s="426" t="str">
        <f>IFERROR(IF($N$12="Y","n.m",N18/Forecast!D19),"")</f>
        <v>n.m</v>
      </c>
      <c r="P18" s="30"/>
    </row>
    <row r="19" spans="1:16">
      <c r="A19" s="251"/>
      <c r="B19" s="425" t="s">
        <v>511</v>
      </c>
      <c r="C19" s="13"/>
      <c r="D19" s="839"/>
      <c r="E19" s="840"/>
      <c r="F19" s="840"/>
      <c r="G19" s="840"/>
      <c r="H19" s="840"/>
      <c r="I19" s="840"/>
      <c r="J19" s="840"/>
      <c r="K19" s="840"/>
      <c r="L19" s="840"/>
      <c r="M19" s="840"/>
      <c r="N19" s="840"/>
      <c r="O19" s="426" t="str">
        <f>IFERROR(IF($N$12="Y","n.m",N19/Forecast!D20),"")</f>
        <v>n.m</v>
      </c>
      <c r="P19" s="30"/>
    </row>
    <row r="20" spans="1:16">
      <c r="A20" s="251"/>
      <c r="B20" s="425" t="s">
        <v>512</v>
      </c>
      <c r="C20" s="13"/>
      <c r="D20" s="839"/>
      <c r="E20" s="840"/>
      <c r="F20" s="840"/>
      <c r="G20" s="840"/>
      <c r="H20" s="840"/>
      <c r="I20" s="840"/>
      <c r="J20" s="840"/>
      <c r="K20" s="840"/>
      <c r="L20" s="840"/>
      <c r="M20" s="840"/>
      <c r="N20" s="840"/>
      <c r="O20" s="426" t="str">
        <f>IFERROR(IF($N$12="Y","n.m",N20/Forecast!D21),"")</f>
        <v>n.m</v>
      </c>
      <c r="P20" s="30"/>
    </row>
    <row r="21" spans="1:16">
      <c r="A21" s="251">
        <v>7</v>
      </c>
      <c r="B21" s="425"/>
      <c r="C21" s="13"/>
      <c r="D21" s="427"/>
      <c r="E21" s="427"/>
      <c r="F21" s="427"/>
      <c r="G21" s="427"/>
      <c r="H21" s="427"/>
      <c r="I21" s="427"/>
      <c r="J21" s="427"/>
      <c r="K21" s="427"/>
      <c r="L21" s="427"/>
      <c r="M21" s="427"/>
      <c r="N21" s="427"/>
      <c r="O21" s="426"/>
      <c r="P21" s="30"/>
    </row>
    <row r="22" spans="1:16">
      <c r="A22" s="251">
        <v>8</v>
      </c>
      <c r="B22" s="421" t="s">
        <v>56</v>
      </c>
      <c r="C22" s="428"/>
      <c r="D22" s="840"/>
      <c r="E22" s="840"/>
      <c r="F22" s="840"/>
      <c r="G22" s="840"/>
      <c r="H22" s="840"/>
      <c r="I22" s="840"/>
      <c r="J22" s="840"/>
      <c r="K22" s="840"/>
      <c r="L22" s="840"/>
      <c r="M22" s="840"/>
      <c r="N22" s="840"/>
      <c r="O22" s="426" t="str">
        <f>IFERROR(IF($N$12="Y","n.m",N22/Forecast!D23),"")</f>
        <v>n.m</v>
      </c>
    </row>
    <row r="23" spans="1:16" ht="10.5">
      <c r="A23" s="251">
        <v>9</v>
      </c>
      <c r="B23" s="654" t="s">
        <v>57</v>
      </c>
      <c r="C23" s="657"/>
      <c r="D23" s="658">
        <f>SUM(D17:D22)</f>
        <v>0</v>
      </c>
      <c r="E23" s="658">
        <f t="shared" ref="E23:N23" si="2">SUM(E17:E22)</f>
        <v>0</v>
      </c>
      <c r="F23" s="658">
        <f t="shared" si="2"/>
        <v>0</v>
      </c>
      <c r="G23" s="658">
        <f t="shared" si="2"/>
        <v>0</v>
      </c>
      <c r="H23" s="658">
        <f t="shared" si="2"/>
        <v>0</v>
      </c>
      <c r="I23" s="658">
        <f t="shared" si="2"/>
        <v>0</v>
      </c>
      <c r="J23" s="658">
        <f t="shared" si="2"/>
        <v>0</v>
      </c>
      <c r="K23" s="658">
        <f t="shared" si="2"/>
        <v>0</v>
      </c>
      <c r="L23" s="658">
        <f t="shared" si="2"/>
        <v>0</v>
      </c>
      <c r="M23" s="658">
        <f t="shared" si="2"/>
        <v>0</v>
      </c>
      <c r="N23" s="658">
        <f t="shared" si="2"/>
        <v>0</v>
      </c>
      <c r="O23" s="337" t="str">
        <f>IFERROR(IF($N$12="Y","n.m",N23/Forecast!D24),"")</f>
        <v>n.m</v>
      </c>
    </row>
    <row r="24" spans="1:16">
      <c r="A24" s="251">
        <v>10</v>
      </c>
      <c r="B24" s="13"/>
      <c r="C24" s="13"/>
      <c r="D24" s="427"/>
      <c r="E24" s="427"/>
      <c r="F24" s="427"/>
      <c r="G24" s="427"/>
      <c r="H24" s="427"/>
      <c r="I24" s="427"/>
      <c r="J24" s="427"/>
      <c r="K24" s="427"/>
      <c r="L24" s="427"/>
      <c r="M24" s="427"/>
      <c r="N24" s="427"/>
      <c r="O24" s="426"/>
    </row>
    <row r="25" spans="1:16">
      <c r="A25" s="251">
        <v>11</v>
      </c>
      <c r="B25" s="421" t="s">
        <v>397</v>
      </c>
      <c r="C25" s="695" t="s">
        <v>398</v>
      </c>
      <c r="D25" s="840"/>
      <c r="E25" s="840"/>
      <c r="F25" s="840"/>
      <c r="G25" s="840"/>
      <c r="H25" s="840"/>
      <c r="I25" s="840"/>
      <c r="J25" s="840"/>
      <c r="K25" s="840"/>
      <c r="L25" s="840"/>
      <c r="M25" s="840"/>
      <c r="N25" s="840"/>
      <c r="O25" s="426" t="str">
        <f>IFERROR(IF($N$12="Y","n.m",N25/Forecast!D26),"")</f>
        <v>n.m</v>
      </c>
      <c r="P25" s="152" t="s">
        <v>558</v>
      </c>
    </row>
    <row r="26" spans="1:16">
      <c r="A26" s="251">
        <v>12</v>
      </c>
      <c r="B26" s="421" t="s">
        <v>399</v>
      </c>
      <c r="C26" s="695" t="s">
        <v>400</v>
      </c>
      <c r="D26" s="840"/>
      <c r="E26" s="840"/>
      <c r="F26" s="840"/>
      <c r="G26" s="840"/>
      <c r="H26" s="840"/>
      <c r="I26" s="840"/>
      <c r="J26" s="840"/>
      <c r="K26" s="840"/>
      <c r="L26" s="840"/>
      <c r="M26" s="840"/>
      <c r="N26" s="840"/>
      <c r="O26" s="426" t="str">
        <f>IFERROR(IF($N$12="Y","n.m",N26/Forecast!D27),"")</f>
        <v>n.m</v>
      </c>
      <c r="P26" s="152" t="s">
        <v>559</v>
      </c>
    </row>
    <row r="27" spans="1:16">
      <c r="A27" s="251">
        <v>13</v>
      </c>
      <c r="B27" s="421" t="s">
        <v>561</v>
      </c>
      <c r="C27" s="695" t="s">
        <v>400</v>
      </c>
      <c r="D27" s="840"/>
      <c r="E27" s="840"/>
      <c r="F27" s="840"/>
      <c r="G27" s="840"/>
      <c r="H27" s="840"/>
      <c r="I27" s="840"/>
      <c r="J27" s="840"/>
      <c r="K27" s="840"/>
      <c r="L27" s="840"/>
      <c r="M27" s="840"/>
      <c r="N27" s="840"/>
      <c r="O27" s="426" t="str">
        <f>IFERROR(IF($N$12="Y","n.m",N27/Forecast!D28),"")</f>
        <v>n.m</v>
      </c>
      <c r="P27" s="152" t="s">
        <v>560</v>
      </c>
    </row>
    <row r="28" spans="1:16">
      <c r="A28" s="251">
        <v>14</v>
      </c>
      <c r="B28" s="421" t="s">
        <v>401</v>
      </c>
      <c r="C28" s="695" t="s">
        <v>400</v>
      </c>
      <c r="D28" s="840"/>
      <c r="E28" s="840"/>
      <c r="F28" s="840"/>
      <c r="G28" s="840"/>
      <c r="H28" s="840"/>
      <c r="I28" s="840"/>
      <c r="J28" s="840"/>
      <c r="K28" s="840"/>
      <c r="L28" s="840"/>
      <c r="M28" s="840"/>
      <c r="N28" s="840"/>
      <c r="O28" s="426" t="str">
        <f>IFERROR(IF($N$12="Y","n.m",N28/Forecast!D29),"")</f>
        <v>n.m</v>
      </c>
      <c r="P28" s="152" t="s">
        <v>560</v>
      </c>
    </row>
    <row r="29" spans="1:16">
      <c r="A29" s="251">
        <v>15</v>
      </c>
      <c r="B29" s="421" t="s">
        <v>402</v>
      </c>
      <c r="C29" s="695" t="s">
        <v>400</v>
      </c>
      <c r="D29" s="840"/>
      <c r="E29" s="840"/>
      <c r="F29" s="840"/>
      <c r="G29" s="840"/>
      <c r="H29" s="840"/>
      <c r="I29" s="840"/>
      <c r="J29" s="840"/>
      <c r="K29" s="840"/>
      <c r="L29" s="840"/>
      <c r="M29" s="840"/>
      <c r="N29" s="840"/>
      <c r="O29" s="426" t="str">
        <f>IFERROR(IF($N$12="Y","n.m",N29/Forecast!D30),"")</f>
        <v>n.m</v>
      </c>
      <c r="P29" s="152" t="s">
        <v>560</v>
      </c>
    </row>
    <row r="30" spans="1:16" ht="10.5">
      <c r="A30" s="251">
        <v>16</v>
      </c>
      <c r="B30" s="654" t="s">
        <v>59</v>
      </c>
      <c r="C30" s="657"/>
      <c r="D30" s="658">
        <f>SUM(D23:D29)</f>
        <v>0</v>
      </c>
      <c r="E30" s="658">
        <f t="shared" ref="E30:N30" si="3">SUM(E23:E29)</f>
        <v>0</v>
      </c>
      <c r="F30" s="658">
        <f t="shared" si="3"/>
        <v>0</v>
      </c>
      <c r="G30" s="658">
        <f t="shared" si="3"/>
        <v>0</v>
      </c>
      <c r="H30" s="658">
        <f t="shared" si="3"/>
        <v>0</v>
      </c>
      <c r="I30" s="658">
        <f t="shared" si="3"/>
        <v>0</v>
      </c>
      <c r="J30" s="658">
        <f t="shared" si="3"/>
        <v>0</v>
      </c>
      <c r="K30" s="658">
        <f t="shared" si="3"/>
        <v>0</v>
      </c>
      <c r="L30" s="658">
        <f t="shared" si="3"/>
        <v>0</v>
      </c>
      <c r="M30" s="658">
        <f t="shared" si="3"/>
        <v>0</v>
      </c>
      <c r="N30" s="658">
        <f t="shared" si="3"/>
        <v>0</v>
      </c>
      <c r="O30" s="337" t="str">
        <f>IFERROR(IF($N$12="Y","n.m",N30/Forecast!D31),"")</f>
        <v>n.m</v>
      </c>
      <c r="P30" s="30"/>
    </row>
    <row r="31" spans="1:16">
      <c r="A31" s="251">
        <v>17</v>
      </c>
      <c r="B31" s="13"/>
      <c r="C31" s="13"/>
      <c r="D31" s="427"/>
      <c r="E31" s="427"/>
      <c r="F31" s="427"/>
      <c r="G31" s="427"/>
      <c r="H31" s="427"/>
      <c r="I31" s="427"/>
      <c r="J31" s="427"/>
      <c r="K31" s="427"/>
      <c r="L31" s="427"/>
      <c r="M31" s="427"/>
      <c r="N31" s="427"/>
      <c r="O31" s="426"/>
    </row>
    <row r="32" spans="1:16">
      <c r="A32" s="251">
        <v>18</v>
      </c>
      <c r="B32" s="421" t="s">
        <v>218</v>
      </c>
      <c r="C32" s="428"/>
      <c r="D32" s="840"/>
      <c r="E32" s="840"/>
      <c r="F32" s="840"/>
      <c r="G32" s="840"/>
      <c r="H32" s="854"/>
      <c r="I32" s="840"/>
      <c r="J32" s="840"/>
      <c r="K32" s="840"/>
      <c r="L32" s="840"/>
      <c r="M32" s="840"/>
      <c r="N32" s="854"/>
      <c r="O32" s="426" t="str">
        <f>IFERROR(IF($N$12="Y","n.m",N32/Forecast!D33),"")</f>
        <v>n.m</v>
      </c>
      <c r="P32" s="152" t="s">
        <v>562</v>
      </c>
    </row>
    <row r="33" spans="1:16">
      <c r="A33" s="251">
        <v>19</v>
      </c>
      <c r="B33" s="421" t="s">
        <v>563</v>
      </c>
      <c r="C33" s="428"/>
      <c r="D33" s="840"/>
      <c r="E33" s="840"/>
      <c r="F33" s="840"/>
      <c r="G33" s="840"/>
      <c r="H33" s="840"/>
      <c r="I33" s="840"/>
      <c r="J33" s="840"/>
      <c r="K33" s="840"/>
      <c r="L33" s="840"/>
      <c r="M33" s="840"/>
      <c r="N33" s="854"/>
      <c r="O33" s="426" t="str">
        <f>IFERROR(IF($N$12="Y","n.m",N33/Forecast!D34),"")</f>
        <v>n.m</v>
      </c>
      <c r="P33" s="152" t="s">
        <v>562</v>
      </c>
    </row>
    <row r="34" spans="1:16" ht="11" thickBot="1">
      <c r="A34" s="251">
        <v>20</v>
      </c>
      <c r="B34" s="656" t="s">
        <v>58</v>
      </c>
      <c r="C34" s="659"/>
      <c r="D34" s="660">
        <f>SUM(D30:D33)</f>
        <v>0</v>
      </c>
      <c r="E34" s="660">
        <f t="shared" ref="E34:N34" si="4">SUM(E30:E33)</f>
        <v>0</v>
      </c>
      <c r="F34" s="660">
        <f t="shared" si="4"/>
        <v>0</v>
      </c>
      <c r="G34" s="660">
        <f t="shared" si="4"/>
        <v>0</v>
      </c>
      <c r="H34" s="660">
        <f t="shared" si="4"/>
        <v>0</v>
      </c>
      <c r="I34" s="660">
        <f t="shared" si="4"/>
        <v>0</v>
      </c>
      <c r="J34" s="660">
        <f t="shared" si="4"/>
        <v>0</v>
      </c>
      <c r="K34" s="660">
        <f t="shared" si="4"/>
        <v>0</v>
      </c>
      <c r="L34" s="660">
        <f t="shared" si="4"/>
        <v>0</v>
      </c>
      <c r="M34" s="660">
        <f t="shared" si="4"/>
        <v>0</v>
      </c>
      <c r="N34" s="660">
        <f t="shared" si="4"/>
        <v>0</v>
      </c>
      <c r="O34" s="415" t="str">
        <f>IFERROR(IF($N$12="Y","n.m",N34/Forecast!D35),"")</f>
        <v>n.m</v>
      </c>
    </row>
    <row r="35" spans="1:16">
      <c r="A35" s="251">
        <v>21</v>
      </c>
      <c r="B35" s="791" t="s">
        <v>77</v>
      </c>
      <c r="C35" s="13"/>
      <c r="D35" s="427"/>
      <c r="E35" s="427"/>
      <c r="F35" s="427"/>
      <c r="G35" s="427"/>
      <c r="H35" s="427"/>
      <c r="I35" s="427"/>
      <c r="J35" s="427"/>
      <c r="K35" s="427"/>
      <c r="L35" s="427"/>
      <c r="M35" s="427"/>
      <c r="N35" s="427"/>
      <c r="O35" s="846"/>
    </row>
    <row r="36" spans="1:16">
      <c r="A36" s="251"/>
      <c r="B36" s="791"/>
      <c r="C36" s="13"/>
      <c r="D36" s="427"/>
      <c r="E36" s="427"/>
      <c r="F36" s="427"/>
      <c r="G36" s="427"/>
      <c r="H36" s="427"/>
      <c r="I36" s="427"/>
      <c r="J36" s="427"/>
      <c r="K36" s="427"/>
      <c r="L36" s="427"/>
      <c r="M36" s="427"/>
      <c r="N36" s="427"/>
      <c r="O36" s="846"/>
    </row>
    <row r="37" spans="1:16" hidden="1" outlineLevel="1">
      <c r="A37" s="251">
        <v>22</v>
      </c>
      <c r="B37" s="429" t="s">
        <v>403</v>
      </c>
      <c r="C37" s="428"/>
      <c r="D37" s="840"/>
      <c r="E37" s="840"/>
      <c r="F37" s="840"/>
      <c r="G37" s="840"/>
      <c r="H37" s="840"/>
      <c r="I37" s="840"/>
      <c r="J37" s="840"/>
      <c r="K37" s="840"/>
      <c r="L37" s="840"/>
      <c r="M37" s="840"/>
      <c r="N37" s="840"/>
      <c r="O37" s="426"/>
    </row>
    <row r="38" spans="1:16" hidden="1" outlineLevel="1">
      <c r="A38" s="251">
        <v>23</v>
      </c>
      <c r="B38" s="429" t="s">
        <v>404</v>
      </c>
      <c r="C38" s="428"/>
      <c r="D38" s="840"/>
      <c r="E38" s="840"/>
      <c r="F38" s="840"/>
      <c r="G38" s="840"/>
      <c r="H38" s="840"/>
      <c r="I38" s="840"/>
      <c r="J38" s="840"/>
      <c r="K38" s="840"/>
      <c r="L38" s="840"/>
      <c r="M38" s="840"/>
      <c r="N38" s="840"/>
      <c r="O38" s="426"/>
    </row>
    <row r="39" spans="1:16" hidden="1" outlineLevel="1">
      <c r="A39" s="251">
        <v>24</v>
      </c>
      <c r="B39" s="429" t="s">
        <v>405</v>
      </c>
      <c r="C39" s="428"/>
      <c r="D39" s="840"/>
      <c r="E39" s="840"/>
      <c r="F39" s="840"/>
      <c r="G39" s="840"/>
      <c r="H39" s="840"/>
      <c r="I39" s="840"/>
      <c r="J39" s="840"/>
      <c r="K39" s="840"/>
      <c r="L39" s="840"/>
      <c r="M39" s="840"/>
      <c r="N39" s="840"/>
      <c r="O39" s="426"/>
    </row>
    <row r="40" spans="1:16" ht="10.5" hidden="1" outlineLevel="1">
      <c r="A40" s="251">
        <v>25</v>
      </c>
      <c r="B40" s="655" t="s">
        <v>60</v>
      </c>
      <c r="C40" s="657"/>
      <c r="D40" s="658">
        <f>D30+SUM(D37:D39)</f>
        <v>0</v>
      </c>
      <c r="E40" s="658">
        <f t="shared" ref="E40:N40" si="5">E30+SUM(E37:E39)</f>
        <v>0</v>
      </c>
      <c r="F40" s="658">
        <f t="shared" si="5"/>
        <v>0</v>
      </c>
      <c r="G40" s="658">
        <f t="shared" si="5"/>
        <v>0</v>
      </c>
      <c r="H40" s="658">
        <f t="shared" si="5"/>
        <v>0</v>
      </c>
      <c r="I40" s="658">
        <f t="shared" si="5"/>
        <v>0</v>
      </c>
      <c r="J40" s="658">
        <f t="shared" si="5"/>
        <v>0</v>
      </c>
      <c r="K40" s="658">
        <f t="shared" si="5"/>
        <v>0</v>
      </c>
      <c r="L40" s="658">
        <f t="shared" si="5"/>
        <v>0</v>
      </c>
      <c r="M40" s="658">
        <f t="shared" si="5"/>
        <v>0</v>
      </c>
      <c r="N40" s="658">
        <f t="shared" si="5"/>
        <v>0</v>
      </c>
      <c r="O40" s="337"/>
    </row>
    <row r="41" spans="1:16" hidden="1" outlineLevel="1">
      <c r="A41" s="251">
        <v>26</v>
      </c>
      <c r="B41" s="429"/>
      <c r="C41" s="13"/>
      <c r="D41" s="427"/>
      <c r="E41" s="427"/>
      <c r="F41" s="427"/>
      <c r="G41" s="427"/>
      <c r="H41" s="427"/>
      <c r="I41" s="427"/>
      <c r="J41" s="427"/>
      <c r="K41" s="427"/>
      <c r="L41" s="427"/>
      <c r="M41" s="427"/>
      <c r="N41" s="427"/>
      <c r="O41" s="426"/>
    </row>
    <row r="42" spans="1:16" hidden="1" outlineLevel="1">
      <c r="A42" s="251">
        <v>27</v>
      </c>
      <c r="B42" s="429" t="s">
        <v>61</v>
      </c>
      <c r="C42" s="428"/>
      <c r="D42" s="840"/>
      <c r="E42" s="840"/>
      <c r="F42" s="840"/>
      <c r="G42" s="840"/>
      <c r="H42" s="840"/>
      <c r="I42" s="840"/>
      <c r="J42" s="840"/>
      <c r="K42" s="840"/>
      <c r="L42" s="840"/>
      <c r="M42" s="840"/>
      <c r="N42" s="840"/>
      <c r="O42" s="426"/>
    </row>
    <row r="43" spans="1:16" ht="11" hidden="1" outlineLevel="1" thickBot="1">
      <c r="A43" s="251">
        <v>28</v>
      </c>
      <c r="B43" s="656" t="s">
        <v>62</v>
      </c>
      <c r="C43" s="659"/>
      <c r="D43" s="660">
        <f>SUM(D40:D42)</f>
        <v>0</v>
      </c>
      <c r="E43" s="660">
        <f t="shared" ref="E43:N43" si="6">SUM(E40:E42)</f>
        <v>0</v>
      </c>
      <c r="F43" s="660">
        <f t="shared" si="6"/>
        <v>0</v>
      </c>
      <c r="G43" s="660">
        <f t="shared" si="6"/>
        <v>0</v>
      </c>
      <c r="H43" s="660">
        <f t="shared" si="6"/>
        <v>0</v>
      </c>
      <c r="I43" s="660">
        <f t="shared" si="6"/>
        <v>0</v>
      </c>
      <c r="J43" s="660">
        <f t="shared" si="6"/>
        <v>0</v>
      </c>
      <c r="K43" s="660">
        <f t="shared" si="6"/>
        <v>0</v>
      </c>
      <c r="L43" s="660">
        <f t="shared" si="6"/>
        <v>0</v>
      </c>
      <c r="M43" s="660">
        <f t="shared" si="6"/>
        <v>0</v>
      </c>
      <c r="N43" s="660">
        <f t="shared" si="6"/>
        <v>0</v>
      </c>
      <c r="O43" s="415"/>
    </row>
    <row r="44" spans="1:16" hidden="1" outlineLevel="1">
      <c r="A44" s="251">
        <v>29</v>
      </c>
      <c r="B44" s="791" t="s">
        <v>77</v>
      </c>
      <c r="N44" s="95"/>
      <c r="O44" s="105"/>
    </row>
    <row r="45" spans="1:16" collapsed="1">
      <c r="A45" s="251">
        <v>30</v>
      </c>
      <c r="N45" s="36"/>
    </row>
    <row r="46" spans="1:16" ht="10.5" hidden="1" outlineLevel="1">
      <c r="B46" s="34" t="s">
        <v>98</v>
      </c>
      <c r="C46" s="36"/>
      <c r="D46" s="792">
        <f t="shared" ref="D46:N46" si="7">D43</f>
        <v>0</v>
      </c>
      <c r="E46" s="792">
        <f t="shared" si="7"/>
        <v>0</v>
      </c>
      <c r="F46" s="792">
        <f t="shared" si="7"/>
        <v>0</v>
      </c>
      <c r="G46" s="792">
        <f t="shared" si="7"/>
        <v>0</v>
      </c>
      <c r="H46" s="792">
        <f t="shared" si="7"/>
        <v>0</v>
      </c>
      <c r="I46" s="792">
        <f t="shared" si="7"/>
        <v>0</v>
      </c>
      <c r="J46" s="792">
        <f t="shared" si="7"/>
        <v>0</v>
      </c>
      <c r="K46" s="792">
        <f t="shared" si="7"/>
        <v>0</v>
      </c>
      <c r="L46" s="792">
        <f t="shared" si="7"/>
        <v>0</v>
      </c>
      <c r="M46" s="792">
        <f t="shared" si="7"/>
        <v>0</v>
      </c>
      <c r="N46" s="792">
        <f t="shared" si="7"/>
        <v>0</v>
      </c>
      <c r="P46" s="30" t="s">
        <v>97</v>
      </c>
    </row>
    <row r="47" spans="1:16" collapsed="1">
      <c r="A47" s="251"/>
    </row>
    <row r="48" spans="1:16" ht="10.5">
      <c r="A48" s="251">
        <v>31</v>
      </c>
      <c r="B48" s="653" t="s">
        <v>500</v>
      </c>
      <c r="C48" s="653"/>
      <c r="D48" s="653"/>
      <c r="E48" s="653"/>
      <c r="F48" s="653"/>
      <c r="G48" s="653"/>
      <c r="H48" s="653"/>
      <c r="I48" s="653"/>
      <c r="J48" s="653"/>
      <c r="K48" s="653"/>
      <c r="L48" s="653"/>
      <c r="M48" s="653"/>
      <c r="N48" s="653"/>
      <c r="O48" s="653"/>
    </row>
    <row r="49" spans="1:16" ht="10.5">
      <c r="A49" s="251">
        <v>32</v>
      </c>
      <c r="B49" s="418"/>
      <c r="C49" s="419"/>
      <c r="D49" s="419" t="str">
        <f>C0!D21</f>
        <v>FYTE</v>
      </c>
      <c r="E49" s="419" t="str">
        <f>C0!E21</f>
        <v>FYTE</v>
      </c>
      <c r="F49" s="419" t="str">
        <f>C0!F21</f>
        <v>FYTE</v>
      </c>
      <c r="G49" s="419" t="str">
        <f>C0!G21</f>
        <v>FYTE</v>
      </c>
      <c r="H49" s="419" t="str">
        <f>C0!H21</f>
        <v>FYTE</v>
      </c>
      <c r="I49" s="419" t="str">
        <f>C0!I21</f>
        <v>FYTE</v>
      </c>
      <c r="J49" s="419" t="str">
        <f>C0!J21</f>
        <v>FY21</v>
      </c>
      <c r="K49" s="419" t="str">
        <f>C0!K21</f>
        <v>FY22</v>
      </c>
      <c r="L49" s="419" t="str">
        <f>C0!L21</f>
        <v>FY23</v>
      </c>
      <c r="M49" s="419" t="str">
        <f>C0!M21</f>
        <v>FY24</v>
      </c>
      <c r="N49" s="419" t="str">
        <f>C0!N21</f>
        <v>FY25</v>
      </c>
      <c r="O49" s="420" t="s">
        <v>406</v>
      </c>
    </row>
    <row r="50" spans="1:16" ht="10.5">
      <c r="A50" s="251"/>
      <c r="B50" s="750" t="s">
        <v>276</v>
      </c>
      <c r="C50" s="707"/>
      <c r="D50" s="707"/>
      <c r="E50" s="707"/>
      <c r="F50" s="707"/>
      <c r="G50" s="707"/>
      <c r="H50" s="707"/>
      <c r="I50" s="707"/>
      <c r="J50" s="707"/>
      <c r="K50" s="707"/>
      <c r="L50" s="707"/>
      <c r="M50" s="707"/>
      <c r="N50" s="707"/>
      <c r="O50" s="736"/>
    </row>
    <row r="51" spans="1:16">
      <c r="A51" s="251">
        <v>33</v>
      </c>
      <c r="B51" s="432" t="str">
        <f>B16</f>
        <v>Revenue</v>
      </c>
      <c r="C51" s="433"/>
      <c r="D51" s="434" t="str">
        <f>IFERROR(D16/C16-1,"")</f>
        <v/>
      </c>
      <c r="E51" s="434" t="str">
        <f>IFERROR(E16/D16-1,"")</f>
        <v/>
      </c>
      <c r="F51" s="434" t="str">
        <f t="shared" ref="F51:N51" si="8">IFERROR(F16/E16-1,"")</f>
        <v/>
      </c>
      <c r="G51" s="434" t="str">
        <f t="shared" si="8"/>
        <v/>
      </c>
      <c r="H51" s="434" t="str">
        <f t="shared" si="8"/>
        <v/>
      </c>
      <c r="I51" s="434" t="str">
        <f t="shared" si="8"/>
        <v/>
      </c>
      <c r="J51" s="434" t="str">
        <f>IFERROR(J16/I16-1,"")</f>
        <v/>
      </c>
      <c r="K51" s="434" t="str">
        <f t="shared" si="8"/>
        <v/>
      </c>
      <c r="L51" s="434" t="str">
        <f t="shared" si="8"/>
        <v/>
      </c>
      <c r="M51" s="434" t="str">
        <f t="shared" si="8"/>
        <v/>
      </c>
      <c r="N51" s="434" t="str">
        <f t="shared" si="8"/>
        <v/>
      </c>
      <c r="O51" s="435" t="str">
        <f>IFERROR(IF(N12="Y",((N16/K16)^(1/COUNT(L16:N16))-1),((N16/N11*12)/K16)^(1/COUNT(L16:N16))-1),"")</f>
        <v/>
      </c>
      <c r="P51" s="152" t="s">
        <v>213</v>
      </c>
    </row>
    <row r="52" spans="1:16">
      <c r="A52" s="251">
        <v>34</v>
      </c>
      <c r="B52" s="432" t="str">
        <f>B22</f>
        <v>COGS</v>
      </c>
      <c r="C52" s="433"/>
      <c r="D52" s="434"/>
      <c r="E52" s="434" t="str">
        <f>IFERROR(E22/D22-1,"")</f>
        <v/>
      </c>
      <c r="F52" s="434" t="str">
        <f t="shared" ref="F52:N52" si="9">IFERROR(F22/E22-1,"")</f>
        <v/>
      </c>
      <c r="G52" s="434" t="str">
        <f t="shared" si="9"/>
        <v/>
      </c>
      <c r="H52" s="434" t="str">
        <f t="shared" si="9"/>
        <v/>
      </c>
      <c r="I52" s="434" t="str">
        <f t="shared" si="9"/>
        <v/>
      </c>
      <c r="J52" s="434" t="str">
        <f>IFERROR(J22/I22-1,"")</f>
        <v/>
      </c>
      <c r="K52" s="434" t="str">
        <f t="shared" si="9"/>
        <v/>
      </c>
      <c r="L52" s="434" t="str">
        <f t="shared" si="9"/>
        <v/>
      </c>
      <c r="M52" s="434" t="str">
        <f t="shared" si="9"/>
        <v/>
      </c>
      <c r="N52" s="434" t="str">
        <f t="shared" si="9"/>
        <v/>
      </c>
      <c r="O52" s="435" t="str">
        <f>IFERROR(IF(N12="Y",((N22/K22)^(1/COUNT(L22:N22))-1),((N22/N11*12)/K22)^(1/COUNT(L22:N22))-1),"")</f>
        <v/>
      </c>
      <c r="P52" s="30"/>
    </row>
    <row r="53" spans="1:16">
      <c r="A53" s="251">
        <v>35</v>
      </c>
      <c r="B53" s="432" t="str">
        <f>B26</f>
        <v>[Salary &amp; wages]</v>
      </c>
      <c r="C53" s="433"/>
      <c r="D53" s="434"/>
      <c r="E53" s="434" t="str">
        <f>IFERROR(E26/D26-1,"")</f>
        <v/>
      </c>
      <c r="F53" s="434" t="str">
        <f t="shared" ref="F53:N53" si="10">IFERROR(F26/E26-1,"")</f>
        <v/>
      </c>
      <c r="G53" s="434" t="str">
        <f t="shared" si="10"/>
        <v/>
      </c>
      <c r="H53" s="434" t="str">
        <f t="shared" si="10"/>
        <v/>
      </c>
      <c r="I53" s="434" t="str">
        <f t="shared" si="10"/>
        <v/>
      </c>
      <c r="J53" s="434" t="str">
        <f>IFERROR(J26/I26-1,"")</f>
        <v/>
      </c>
      <c r="K53" s="434" t="str">
        <f t="shared" si="10"/>
        <v/>
      </c>
      <c r="L53" s="434" t="str">
        <f t="shared" si="10"/>
        <v/>
      </c>
      <c r="M53" s="434" t="str">
        <f t="shared" si="10"/>
        <v/>
      </c>
      <c r="N53" s="434" t="str">
        <f t="shared" si="10"/>
        <v/>
      </c>
      <c r="O53" s="435" t="str">
        <f>IFERROR(IF(N12="Y",((N26/K26)^(1/COUNT(L26:N26))-1),((N26/N11*12)/K26)^(1/COUNT(L26:N26))-1),"")</f>
        <v/>
      </c>
      <c r="P53" s="30"/>
    </row>
    <row r="54" spans="1:16">
      <c r="A54" s="251">
        <v>36</v>
      </c>
      <c r="B54" s="432" t="str">
        <f>B27</f>
        <v>[General &amp; Admin expenses]</v>
      </c>
      <c r="C54" s="433"/>
      <c r="D54" s="434"/>
      <c r="E54" s="434" t="str">
        <f>IFERROR(E27/D27-1,"")</f>
        <v/>
      </c>
      <c r="F54" s="434" t="str">
        <f t="shared" ref="F54:N54" si="11">IFERROR(F27/E27-1,"")</f>
        <v/>
      </c>
      <c r="G54" s="434" t="str">
        <f t="shared" si="11"/>
        <v/>
      </c>
      <c r="H54" s="434" t="str">
        <f t="shared" si="11"/>
        <v/>
      </c>
      <c r="I54" s="434" t="str">
        <f t="shared" si="11"/>
        <v/>
      </c>
      <c r="J54" s="434" t="str">
        <f>IFERROR(J27/I27-1,"")</f>
        <v/>
      </c>
      <c r="K54" s="434" t="str">
        <f t="shared" si="11"/>
        <v/>
      </c>
      <c r="L54" s="434" t="str">
        <f t="shared" si="11"/>
        <v/>
      </c>
      <c r="M54" s="434" t="str">
        <f t="shared" si="11"/>
        <v/>
      </c>
      <c r="N54" s="434" t="str">
        <f t="shared" si="11"/>
        <v/>
      </c>
      <c r="O54" s="435" t="str">
        <f>IFERROR(IF(N12="Y",((N27/K27)^(1/COUNT(L27:N27))-1),((N27/N11*12)/K27)^(1/COUNT(L27:N27))-1),"")</f>
        <v/>
      </c>
      <c r="P54" s="30"/>
    </row>
    <row r="55" spans="1:16">
      <c r="A55" s="251">
        <v>37</v>
      </c>
      <c r="B55" s="432" t="str">
        <f>B28</f>
        <v>[Other operating expenses 1]</v>
      </c>
      <c r="C55" s="433"/>
      <c r="D55" s="434"/>
      <c r="E55" s="434" t="str">
        <f>IFERROR(E28/D28-1,"")</f>
        <v/>
      </c>
      <c r="F55" s="434" t="str">
        <f t="shared" ref="F55:N55" si="12">IFERROR(F28/E28-1,"")</f>
        <v/>
      </c>
      <c r="G55" s="434" t="str">
        <f t="shared" si="12"/>
        <v/>
      </c>
      <c r="H55" s="434" t="str">
        <f t="shared" si="12"/>
        <v/>
      </c>
      <c r="I55" s="434" t="str">
        <f t="shared" si="12"/>
        <v/>
      </c>
      <c r="J55" s="434" t="str">
        <f>IFERROR(J28/I28-1,"")</f>
        <v/>
      </c>
      <c r="K55" s="434" t="str">
        <f t="shared" si="12"/>
        <v/>
      </c>
      <c r="L55" s="434" t="str">
        <f t="shared" si="12"/>
        <v/>
      </c>
      <c r="M55" s="434" t="str">
        <f t="shared" si="12"/>
        <v/>
      </c>
      <c r="N55" s="434" t="str">
        <f t="shared" si="12"/>
        <v/>
      </c>
      <c r="O55" s="435" t="str">
        <f>IFERROR(IF(N12="Y",((N28/K28)^(1/COUNT(L28:N28))-1),((N28/N11*12)/K28)^(1/COUNT(L28:N28))-1),"")</f>
        <v/>
      </c>
      <c r="P55" s="30"/>
    </row>
    <row r="56" spans="1:16">
      <c r="A56" s="251">
        <v>38</v>
      </c>
      <c r="B56" s="432" t="str">
        <f>B29</f>
        <v>[Other operating expenses 2]</v>
      </c>
      <c r="C56" s="433"/>
      <c r="D56" s="434"/>
      <c r="E56" s="434" t="str">
        <f>IFERROR(E29/D29-1,"")</f>
        <v/>
      </c>
      <c r="F56" s="434" t="str">
        <f t="shared" ref="F56:N56" si="13">IFERROR(F29/E29-1,"")</f>
        <v/>
      </c>
      <c r="G56" s="434" t="str">
        <f t="shared" si="13"/>
        <v/>
      </c>
      <c r="H56" s="434" t="str">
        <f t="shared" si="13"/>
        <v/>
      </c>
      <c r="I56" s="434" t="str">
        <f t="shared" si="13"/>
        <v/>
      </c>
      <c r="J56" s="434" t="str">
        <f>IFERROR(J29/I29-1,"")</f>
        <v/>
      </c>
      <c r="K56" s="434" t="str">
        <f t="shared" si="13"/>
        <v/>
      </c>
      <c r="L56" s="434" t="str">
        <f t="shared" si="13"/>
        <v/>
      </c>
      <c r="M56" s="434" t="str">
        <f t="shared" si="13"/>
        <v/>
      </c>
      <c r="N56" s="434" t="str">
        <f t="shared" si="13"/>
        <v/>
      </c>
      <c r="O56" s="435" t="str">
        <f>IFERROR(IF(N12="Y",((N29/K29)^(1/COUNT(L29:N29))-1),((N29/N11*12)/K29)^(1/COUNT(L29:N29))-1),"")</f>
        <v/>
      </c>
      <c r="P56" s="30"/>
    </row>
    <row r="57" spans="1:16">
      <c r="A57" s="251">
        <v>39</v>
      </c>
      <c r="B57" s="432"/>
      <c r="C57" s="433"/>
      <c r="D57" s="434"/>
      <c r="E57" s="434"/>
      <c r="F57" s="434"/>
      <c r="G57" s="434"/>
      <c r="H57" s="434"/>
      <c r="I57" s="434"/>
      <c r="J57" s="434"/>
      <c r="K57" s="434"/>
      <c r="L57" s="434"/>
      <c r="M57" s="434"/>
      <c r="N57" s="434"/>
      <c r="P57" s="30"/>
    </row>
    <row r="58" spans="1:16">
      <c r="A58" s="251">
        <v>40</v>
      </c>
      <c r="B58" s="13"/>
      <c r="C58" s="433"/>
      <c r="D58" s="436"/>
      <c r="E58" s="436"/>
      <c r="F58" s="436"/>
      <c r="G58" s="436"/>
      <c r="H58" s="436"/>
      <c r="I58" s="436"/>
      <c r="J58" s="436"/>
      <c r="K58" s="436"/>
      <c r="L58" s="436"/>
      <c r="M58" s="436"/>
      <c r="N58" s="436"/>
      <c r="O58" s="437"/>
      <c r="P58" s="30"/>
    </row>
    <row r="59" spans="1:16" ht="10.5">
      <c r="A59" s="251">
        <v>41</v>
      </c>
      <c r="B59" s="750" t="s">
        <v>80</v>
      </c>
      <c r="C59" s="433"/>
      <c r="D59" s="436"/>
      <c r="E59" s="436"/>
      <c r="F59" s="436"/>
      <c r="G59" s="436"/>
      <c r="H59" s="436"/>
      <c r="I59" s="436"/>
      <c r="J59" s="436"/>
      <c r="K59" s="436"/>
      <c r="L59" s="436"/>
      <c r="M59" s="436"/>
      <c r="N59" s="436"/>
      <c r="O59" s="438" t="s">
        <v>541</v>
      </c>
      <c r="P59" s="30"/>
    </row>
    <row r="60" spans="1:16">
      <c r="A60" s="251">
        <v>42</v>
      </c>
      <c r="B60" s="432" t="str">
        <f>B25</f>
        <v xml:space="preserve">[Selling &amp; marketing] </v>
      </c>
      <c r="C60" s="433"/>
      <c r="D60" s="434" t="str">
        <f>IFERROR(-D25/D16,"")</f>
        <v/>
      </c>
      <c r="E60" s="434" t="str">
        <f t="shared" ref="E60:N60" si="14">IFERROR(-E25/E16,"")</f>
        <v/>
      </c>
      <c r="F60" s="434" t="str">
        <f t="shared" si="14"/>
        <v/>
      </c>
      <c r="G60" s="434" t="str">
        <f t="shared" si="14"/>
        <v/>
      </c>
      <c r="H60" s="434" t="str">
        <f t="shared" si="14"/>
        <v/>
      </c>
      <c r="I60" s="434" t="str">
        <f t="shared" si="14"/>
        <v/>
      </c>
      <c r="J60" s="434" t="str">
        <f t="shared" si="14"/>
        <v/>
      </c>
      <c r="K60" s="434" t="str">
        <f t="shared" si="14"/>
        <v/>
      </c>
      <c r="L60" s="434" t="str">
        <f t="shared" si="14"/>
        <v/>
      </c>
      <c r="M60" s="434" t="str">
        <f t="shared" si="14"/>
        <v/>
      </c>
      <c r="N60" s="434" t="str">
        <f t="shared" si="14"/>
        <v/>
      </c>
      <c r="O60" s="435" t="str">
        <f>IFERROR(AVERAGE(L60:N60),"")</f>
        <v/>
      </c>
      <c r="P60" s="30"/>
    </row>
    <row r="61" spans="1:16">
      <c r="A61" s="251">
        <v>43</v>
      </c>
      <c r="B61" s="432" t="s">
        <v>81</v>
      </c>
      <c r="C61" s="433"/>
      <c r="D61" s="434" t="str">
        <f>IFERROR(D23/D16,"")</f>
        <v/>
      </c>
      <c r="E61" s="434" t="str">
        <f t="shared" ref="E61:N61" si="15">IFERROR(E23/E16,"")</f>
        <v/>
      </c>
      <c r="F61" s="434" t="str">
        <f t="shared" si="15"/>
        <v/>
      </c>
      <c r="G61" s="434" t="str">
        <f t="shared" si="15"/>
        <v/>
      </c>
      <c r="H61" s="434" t="str">
        <f t="shared" si="15"/>
        <v/>
      </c>
      <c r="I61" s="434" t="str">
        <f t="shared" si="15"/>
        <v/>
      </c>
      <c r="J61" s="434" t="str">
        <f t="shared" si="15"/>
        <v/>
      </c>
      <c r="K61" s="434" t="str">
        <f t="shared" si="15"/>
        <v/>
      </c>
      <c r="L61" s="434" t="str">
        <f t="shared" si="15"/>
        <v/>
      </c>
      <c r="M61" s="434" t="str">
        <f t="shared" si="15"/>
        <v/>
      </c>
      <c r="N61" s="434" t="str">
        <f t="shared" si="15"/>
        <v/>
      </c>
      <c r="O61" s="435" t="str">
        <f t="shared" ref="O61:O63" si="16">IFERROR(AVERAGE(L61:N61),"")</f>
        <v/>
      </c>
    </row>
    <row r="62" spans="1:16">
      <c r="A62" s="251">
        <v>44</v>
      </c>
      <c r="B62" s="432" t="s">
        <v>83</v>
      </c>
      <c r="C62" s="433"/>
      <c r="D62" s="434" t="str">
        <f>IFERROR(D30/D16,"")</f>
        <v/>
      </c>
      <c r="E62" s="434" t="str">
        <f t="shared" ref="E62:N62" si="17">IFERROR(E30/E16,"")</f>
        <v/>
      </c>
      <c r="F62" s="434" t="str">
        <f t="shared" si="17"/>
        <v/>
      </c>
      <c r="G62" s="434" t="str">
        <f t="shared" si="17"/>
        <v/>
      </c>
      <c r="H62" s="434" t="str">
        <f t="shared" si="17"/>
        <v/>
      </c>
      <c r="I62" s="434" t="str">
        <f t="shared" si="17"/>
        <v/>
      </c>
      <c r="J62" s="434" t="str">
        <f t="shared" si="17"/>
        <v/>
      </c>
      <c r="K62" s="434" t="str">
        <f t="shared" si="17"/>
        <v/>
      </c>
      <c r="L62" s="434" t="str">
        <f t="shared" si="17"/>
        <v/>
      </c>
      <c r="M62" s="434" t="str">
        <f t="shared" si="17"/>
        <v/>
      </c>
      <c r="N62" s="434" t="str">
        <f t="shared" si="17"/>
        <v/>
      </c>
      <c r="O62" s="435" t="str">
        <f t="shared" si="16"/>
        <v/>
      </c>
    </row>
    <row r="63" spans="1:16">
      <c r="A63" s="251">
        <v>45</v>
      </c>
      <c r="B63" s="432" t="s">
        <v>82</v>
      </c>
      <c r="C63" s="433"/>
      <c r="D63" s="434" t="str">
        <f>IFERROR(D34/D16,"")</f>
        <v/>
      </c>
      <c r="E63" s="434" t="str">
        <f t="shared" ref="E63:N63" si="18">IFERROR(E34/E16,"")</f>
        <v/>
      </c>
      <c r="F63" s="434" t="str">
        <f t="shared" si="18"/>
        <v/>
      </c>
      <c r="G63" s="434" t="str">
        <f t="shared" si="18"/>
        <v/>
      </c>
      <c r="H63" s="434" t="str">
        <f t="shared" si="18"/>
        <v/>
      </c>
      <c r="I63" s="434" t="str">
        <f t="shared" si="18"/>
        <v/>
      </c>
      <c r="J63" s="434" t="str">
        <f t="shared" si="18"/>
        <v/>
      </c>
      <c r="K63" s="434" t="str">
        <f t="shared" si="18"/>
        <v/>
      </c>
      <c r="L63" s="434" t="str">
        <f t="shared" si="18"/>
        <v/>
      </c>
      <c r="M63" s="434" t="str">
        <f t="shared" si="18"/>
        <v/>
      </c>
      <c r="N63" s="434" t="str">
        <f t="shared" si="18"/>
        <v/>
      </c>
      <c r="O63" s="435" t="str">
        <f t="shared" si="16"/>
        <v/>
      </c>
    </row>
    <row r="64" spans="1:16" ht="3" customHeight="1" thickBot="1">
      <c r="B64" s="439"/>
      <c r="C64" s="440"/>
      <c r="D64" s="441"/>
      <c r="E64" s="441"/>
      <c r="F64" s="441"/>
      <c r="G64" s="441"/>
      <c r="H64" s="441"/>
      <c r="I64" s="441"/>
      <c r="J64" s="441"/>
      <c r="K64" s="441"/>
      <c r="L64" s="441"/>
      <c r="M64" s="441"/>
      <c r="N64" s="441"/>
      <c r="O64" s="442"/>
    </row>
    <row r="65" spans="1:15">
      <c r="B65" s="791" t="s">
        <v>389</v>
      </c>
      <c r="C65" s="793"/>
      <c r="D65" s="793"/>
      <c r="E65" s="793"/>
      <c r="F65" s="793"/>
      <c r="G65" s="793"/>
      <c r="H65" s="793"/>
      <c r="I65" s="793"/>
      <c r="J65" s="793"/>
      <c r="K65" s="793"/>
      <c r="L65" s="793"/>
      <c r="M65" s="793"/>
      <c r="N65" s="793"/>
      <c r="O65" s="793"/>
    </row>
    <row r="66" spans="1:15" ht="10.5">
      <c r="B66" s="794" t="s">
        <v>129</v>
      </c>
      <c r="C66" s="104"/>
      <c r="D66" s="104"/>
      <c r="E66" s="104"/>
      <c r="F66" s="104"/>
      <c r="G66" s="104"/>
      <c r="H66" s="104"/>
      <c r="I66" s="104"/>
      <c r="J66" s="104"/>
      <c r="K66" s="104"/>
      <c r="L66" s="104"/>
      <c r="M66" s="104"/>
      <c r="N66" s="104"/>
      <c r="O66" s="104"/>
    </row>
    <row r="67" spans="1:15">
      <c r="B67" s="795" t="s">
        <v>215</v>
      </c>
      <c r="C67" s="104"/>
      <c r="D67" s="104"/>
      <c r="E67" s="104"/>
      <c r="F67" s="104"/>
      <c r="G67" s="104"/>
      <c r="H67" s="104"/>
      <c r="I67" s="104"/>
      <c r="J67" s="104"/>
      <c r="K67" s="104"/>
      <c r="L67" s="104"/>
      <c r="M67" s="104"/>
      <c r="N67" s="104"/>
      <c r="O67" s="104"/>
    </row>
    <row r="68" spans="1:15">
      <c r="C68" s="36"/>
      <c r="D68" s="36"/>
      <c r="E68" s="36"/>
      <c r="F68" s="36"/>
      <c r="G68" s="36"/>
      <c r="H68" s="36"/>
      <c r="I68" s="36"/>
      <c r="J68" s="36"/>
      <c r="K68" s="36"/>
      <c r="L68" s="36"/>
      <c r="M68" s="36"/>
      <c r="N68" s="36"/>
    </row>
    <row r="70" spans="1:15" ht="10.5">
      <c r="A70" s="701"/>
      <c r="B70" s="653" t="str">
        <f>Subject&amp;"'s Balance Sheet"</f>
        <v>Netflix's Balance Sheet</v>
      </c>
      <c r="C70" s="653"/>
      <c r="D70" s="653"/>
      <c r="E70" s="653"/>
      <c r="F70" s="653"/>
      <c r="G70" s="653"/>
      <c r="H70" s="653"/>
      <c r="I70" s="653"/>
      <c r="J70" s="653"/>
      <c r="K70" s="653"/>
      <c r="L70" s="653"/>
      <c r="M70" s="653"/>
      <c r="N70" s="653"/>
      <c r="O70" s="653"/>
    </row>
    <row r="71" spans="1:15" ht="10.5">
      <c r="A71" s="701"/>
      <c r="B71" s="418" t="str">
        <f>B15</f>
        <v>(USD k)</v>
      </c>
      <c r="C71" s="419"/>
      <c r="D71" s="419" t="str">
        <f t="shared" ref="D71:N71" si="19">D15</f>
        <v>FYTE</v>
      </c>
      <c r="E71" s="419" t="str">
        <f t="shared" si="19"/>
        <v>FYTE</v>
      </c>
      <c r="F71" s="419" t="str">
        <f t="shared" si="19"/>
        <v>FYTE</v>
      </c>
      <c r="G71" s="419" t="str">
        <f t="shared" si="19"/>
        <v>FYTE</v>
      </c>
      <c r="H71" s="419" t="str">
        <f t="shared" si="19"/>
        <v>FYTE</v>
      </c>
      <c r="I71" s="419" t="str">
        <f t="shared" si="19"/>
        <v>FYTE</v>
      </c>
      <c r="J71" s="419" t="str">
        <f t="shared" si="19"/>
        <v>FY21</v>
      </c>
      <c r="K71" s="419" t="str">
        <f t="shared" si="19"/>
        <v>FY22</v>
      </c>
      <c r="L71" s="419" t="str">
        <f t="shared" si="19"/>
        <v>FY23</v>
      </c>
      <c r="M71" s="419" t="str">
        <f t="shared" si="19"/>
        <v>FY24</v>
      </c>
      <c r="N71" s="419" t="str">
        <f t="shared" si="19"/>
        <v>FY25</v>
      </c>
      <c r="O71" s="420" t="s">
        <v>406</v>
      </c>
    </row>
    <row r="72" spans="1:15" ht="10.5">
      <c r="A72" s="701"/>
      <c r="B72" s="696" t="s">
        <v>435</v>
      </c>
      <c r="O72" s="435"/>
    </row>
    <row r="73" spans="1:15">
      <c r="A73" s="702" t="s">
        <v>458</v>
      </c>
      <c r="B73" t="s">
        <v>407</v>
      </c>
      <c r="D73" s="841"/>
      <c r="E73" s="841"/>
      <c r="F73" s="841"/>
      <c r="G73" s="841"/>
      <c r="H73" s="841"/>
      <c r="I73" s="841"/>
      <c r="J73" s="841"/>
      <c r="K73" s="841"/>
      <c r="L73" s="841"/>
      <c r="M73" s="841"/>
      <c r="N73" s="841"/>
      <c r="O73" s="435" t="str">
        <f>IFERROR((N73/K73)^(1/COUNT(L73:N73))-1,"")</f>
        <v/>
      </c>
    </row>
    <row r="74" spans="1:15">
      <c r="A74" s="702" t="s">
        <v>460</v>
      </c>
      <c r="B74" t="s">
        <v>412</v>
      </c>
      <c r="D74" s="841"/>
      <c r="E74" s="841"/>
      <c r="F74" s="841"/>
      <c r="G74" s="841"/>
      <c r="H74" s="841"/>
      <c r="I74" s="841"/>
      <c r="J74" s="841"/>
      <c r="K74" s="841"/>
      <c r="L74" s="841"/>
      <c r="M74" s="841"/>
      <c r="N74" s="841"/>
      <c r="O74" s="435" t="str">
        <f t="shared" ref="O74:O87" si="20">IFERROR((N74/K74)^(1/COUNT(L74:N74))-1,"")</f>
        <v/>
      </c>
    </row>
    <row r="75" spans="1:15">
      <c r="A75" s="702" t="s">
        <v>476</v>
      </c>
      <c r="B75" t="s">
        <v>408</v>
      </c>
      <c r="D75" s="841"/>
      <c r="E75" s="841"/>
      <c r="F75" s="841"/>
      <c r="G75" s="841"/>
      <c r="H75" s="841"/>
      <c r="I75" s="841"/>
      <c r="J75" s="841"/>
      <c r="K75" s="841"/>
      <c r="L75" s="841"/>
      <c r="M75" s="841"/>
      <c r="N75" s="841"/>
      <c r="O75" s="435" t="str">
        <f t="shared" si="20"/>
        <v/>
      </c>
    </row>
    <row r="76" spans="1:15">
      <c r="A76" s="702" t="s">
        <v>456</v>
      </c>
      <c r="B76" t="s">
        <v>414</v>
      </c>
      <c r="D76" s="841"/>
      <c r="E76" s="841"/>
      <c r="F76" s="841"/>
      <c r="G76" s="841"/>
      <c r="H76" s="841"/>
      <c r="I76" s="841"/>
      <c r="J76" s="841"/>
      <c r="K76" s="841"/>
      <c r="L76" s="841"/>
      <c r="M76" s="841"/>
      <c r="N76" s="841"/>
      <c r="O76" s="435" t="str">
        <f t="shared" si="20"/>
        <v/>
      </c>
    </row>
    <row r="77" spans="1:15">
      <c r="A77" s="702" t="s">
        <v>456</v>
      </c>
      <c r="B77" t="s">
        <v>409</v>
      </c>
      <c r="D77" s="841"/>
      <c r="E77" s="841"/>
      <c r="F77" s="841"/>
      <c r="G77" s="841"/>
      <c r="H77" s="841"/>
      <c r="I77" s="841"/>
      <c r="J77" s="841"/>
      <c r="K77" s="841"/>
      <c r="L77" s="841"/>
      <c r="M77" s="841"/>
      <c r="N77" s="841"/>
      <c r="O77" s="435" t="str">
        <f t="shared" si="20"/>
        <v/>
      </c>
    </row>
    <row r="78" spans="1:15">
      <c r="A78" s="702" t="s">
        <v>456</v>
      </c>
      <c r="B78" t="s">
        <v>410</v>
      </c>
      <c r="D78" s="841"/>
      <c r="E78" s="841"/>
      <c r="F78" s="841"/>
      <c r="G78" s="841"/>
      <c r="H78" s="841"/>
      <c r="I78" s="841"/>
      <c r="J78" s="841"/>
      <c r="K78" s="841"/>
      <c r="L78" s="841"/>
      <c r="M78" s="841"/>
      <c r="N78" s="841"/>
      <c r="O78" s="435" t="str">
        <f t="shared" si="20"/>
        <v/>
      </c>
    </row>
    <row r="79" spans="1:15">
      <c r="A79" s="702" t="s">
        <v>468</v>
      </c>
      <c r="B79" t="s">
        <v>411</v>
      </c>
      <c r="D79" s="841"/>
      <c r="E79" s="841"/>
      <c r="F79" s="841"/>
      <c r="G79" s="841"/>
      <c r="H79" s="841"/>
      <c r="I79" s="841"/>
      <c r="J79" s="841"/>
      <c r="K79" s="841"/>
      <c r="L79" s="841"/>
      <c r="M79" s="841"/>
      <c r="N79" s="841"/>
      <c r="O79" s="435" t="str">
        <f t="shared" si="20"/>
        <v/>
      </c>
    </row>
    <row r="80" spans="1:15">
      <c r="A80" s="702" t="s">
        <v>468</v>
      </c>
      <c r="B80" t="s">
        <v>413</v>
      </c>
      <c r="D80" s="841"/>
      <c r="E80" s="841"/>
      <c r="F80" s="841"/>
      <c r="G80" s="841"/>
      <c r="H80" s="841"/>
      <c r="I80" s="841"/>
      <c r="J80" s="841"/>
      <c r="K80" s="841"/>
      <c r="L80" s="841"/>
      <c r="M80" s="841"/>
      <c r="N80" s="841"/>
      <c r="O80" s="435" t="str">
        <f t="shared" si="20"/>
        <v/>
      </c>
    </row>
    <row r="81" spans="1:15">
      <c r="A81" s="702" t="s">
        <v>456</v>
      </c>
      <c r="B81" t="s">
        <v>415</v>
      </c>
      <c r="D81" s="841"/>
      <c r="E81" s="841"/>
      <c r="F81" s="841"/>
      <c r="G81" s="841"/>
      <c r="H81" s="841"/>
      <c r="I81" s="841"/>
      <c r="J81" s="841"/>
      <c r="K81" s="841"/>
      <c r="L81" s="841"/>
      <c r="M81" s="841"/>
      <c r="N81" s="841"/>
      <c r="O81" s="435" t="str">
        <f t="shared" si="20"/>
        <v/>
      </c>
    </row>
    <row r="82" spans="1:15">
      <c r="A82" s="702" t="s">
        <v>468</v>
      </c>
      <c r="B82" t="s">
        <v>416</v>
      </c>
      <c r="D82" s="841"/>
      <c r="E82" s="841"/>
      <c r="F82" s="841"/>
      <c r="G82" s="841"/>
      <c r="H82" s="841"/>
      <c r="I82" s="841"/>
      <c r="J82" s="841"/>
      <c r="K82" s="841"/>
      <c r="L82" s="841"/>
      <c r="M82" s="841"/>
      <c r="N82" s="841"/>
      <c r="O82" s="435" t="str">
        <f t="shared" si="20"/>
        <v/>
      </c>
    </row>
    <row r="83" spans="1:15">
      <c r="A83" s="702" t="s">
        <v>468</v>
      </c>
      <c r="B83" t="s">
        <v>417</v>
      </c>
      <c r="D83" s="841"/>
      <c r="E83" s="841"/>
      <c r="F83" s="841"/>
      <c r="G83" s="841"/>
      <c r="H83" s="841"/>
      <c r="I83" s="841"/>
      <c r="J83" s="841"/>
      <c r="K83" s="841"/>
      <c r="L83" s="841"/>
      <c r="M83" s="841"/>
      <c r="N83" s="841"/>
      <c r="O83" s="435" t="str">
        <f t="shared" si="20"/>
        <v/>
      </c>
    </row>
    <row r="84" spans="1:15">
      <c r="A84" s="702" t="s">
        <v>468</v>
      </c>
      <c r="B84" t="s">
        <v>418</v>
      </c>
      <c r="D84" s="841"/>
      <c r="E84" s="841"/>
      <c r="F84" s="841"/>
      <c r="G84" s="841"/>
      <c r="H84" s="841"/>
      <c r="I84" s="841"/>
      <c r="J84" s="841"/>
      <c r="K84" s="841"/>
      <c r="L84" s="841"/>
      <c r="M84" s="841"/>
      <c r="N84" s="841"/>
      <c r="O84" s="435" t="str">
        <f t="shared" si="20"/>
        <v/>
      </c>
    </row>
    <row r="85" spans="1:15">
      <c r="A85" s="702" t="s">
        <v>468</v>
      </c>
      <c r="B85" t="s">
        <v>419</v>
      </c>
      <c r="D85" s="842"/>
      <c r="E85" s="842"/>
      <c r="F85" s="842"/>
      <c r="G85" s="842"/>
      <c r="H85" s="842"/>
      <c r="I85" s="842"/>
      <c r="J85" s="841"/>
      <c r="K85" s="841"/>
      <c r="L85" s="841"/>
      <c r="M85" s="841"/>
      <c r="N85" s="841"/>
      <c r="O85" s="720" t="str">
        <f t="shared" si="20"/>
        <v/>
      </c>
    </row>
    <row r="86" spans="1:15" ht="3.65" customHeight="1">
      <c r="A86" s="742"/>
      <c r="B86" s="796"/>
      <c r="C86" s="796"/>
      <c r="D86" s="706"/>
      <c r="E86" s="706"/>
      <c r="F86" s="706"/>
      <c r="G86" s="706"/>
      <c r="H86" s="706"/>
      <c r="I86" s="706"/>
      <c r="J86" s="706"/>
      <c r="K86" s="706"/>
      <c r="L86" s="706"/>
      <c r="M86" s="706"/>
      <c r="N86" s="706"/>
      <c r="O86" s="719"/>
    </row>
    <row r="87" spans="1:15" ht="10.5">
      <c r="A87" s="701"/>
      <c r="B87" s="654" t="s">
        <v>420</v>
      </c>
      <c r="C87" s="34"/>
      <c r="D87" s="722">
        <f>SUM(D72:D85)</f>
        <v>0</v>
      </c>
      <c r="E87" s="722">
        <f t="shared" ref="E87:N87" si="21">SUM(E72:E85)</f>
        <v>0</v>
      </c>
      <c r="F87" s="722">
        <f t="shared" si="21"/>
        <v>0</v>
      </c>
      <c r="G87" s="722">
        <f t="shared" si="21"/>
        <v>0</v>
      </c>
      <c r="H87" s="722">
        <f t="shared" si="21"/>
        <v>0</v>
      </c>
      <c r="I87" s="722">
        <f t="shared" si="21"/>
        <v>0</v>
      </c>
      <c r="J87" s="722">
        <f t="shared" si="21"/>
        <v>0</v>
      </c>
      <c r="K87" s="722">
        <f t="shared" si="21"/>
        <v>0</v>
      </c>
      <c r="L87" s="722">
        <f t="shared" si="21"/>
        <v>0</v>
      </c>
      <c r="M87" s="722">
        <f t="shared" si="21"/>
        <v>0</v>
      </c>
      <c r="N87" s="722">
        <f t="shared" si="21"/>
        <v>0</v>
      </c>
      <c r="O87" s="720" t="str">
        <f t="shared" si="20"/>
        <v/>
      </c>
    </row>
    <row r="88" spans="1:15">
      <c r="A88" s="701"/>
      <c r="D88" s="90"/>
      <c r="E88" s="90"/>
      <c r="F88" s="90"/>
      <c r="G88" s="90"/>
      <c r="H88" s="90"/>
      <c r="I88" s="90"/>
      <c r="J88" s="90"/>
      <c r="K88" s="90"/>
      <c r="L88" s="90"/>
      <c r="M88" s="90"/>
      <c r="N88" s="90"/>
      <c r="O88" s="725"/>
    </row>
    <row r="89" spans="1:15">
      <c r="A89" s="702" t="s">
        <v>472</v>
      </c>
      <c r="B89" t="s">
        <v>421</v>
      </c>
      <c r="D89" s="841"/>
      <c r="E89" s="841"/>
      <c r="F89" s="841"/>
      <c r="G89" s="841"/>
      <c r="H89" s="841"/>
      <c r="I89" s="841"/>
      <c r="J89" s="841"/>
      <c r="K89" s="841"/>
      <c r="L89" s="841"/>
      <c r="M89" s="841"/>
      <c r="N89" s="841"/>
      <c r="O89" s="435" t="str">
        <f t="shared" ref="O89:O103" si="22">IFERROR((N89/K89)^(1/COUNT(L89:N89))-1,"")</f>
        <v/>
      </c>
    </row>
    <row r="90" spans="1:15">
      <c r="A90" s="702" t="s">
        <v>468</v>
      </c>
      <c r="B90" t="s">
        <v>85</v>
      </c>
      <c r="D90" s="841"/>
      <c r="E90" s="841"/>
      <c r="F90" s="841"/>
      <c r="G90" s="841"/>
      <c r="H90" s="841"/>
      <c r="I90" s="841"/>
      <c r="J90" s="841"/>
      <c r="K90" s="841"/>
      <c r="L90" s="841"/>
      <c r="M90" s="841"/>
      <c r="N90" s="841"/>
      <c r="O90" s="435" t="str">
        <f t="shared" si="22"/>
        <v/>
      </c>
    </row>
    <row r="91" spans="1:15">
      <c r="A91" s="702" t="s">
        <v>468</v>
      </c>
      <c r="B91" t="s">
        <v>422</v>
      </c>
      <c r="D91" s="841"/>
      <c r="E91" s="841"/>
      <c r="F91" s="841"/>
      <c r="G91" s="841"/>
      <c r="H91" s="841"/>
      <c r="I91" s="841"/>
      <c r="J91" s="841"/>
      <c r="K91" s="841"/>
      <c r="L91" s="841"/>
      <c r="M91" s="841"/>
      <c r="N91" s="841"/>
      <c r="O91" s="435" t="str">
        <f t="shared" si="22"/>
        <v/>
      </c>
    </row>
    <row r="92" spans="1:15">
      <c r="A92" s="702" t="s">
        <v>468</v>
      </c>
      <c r="B92" t="s">
        <v>423</v>
      </c>
      <c r="D92" s="841"/>
      <c r="E92" s="841"/>
      <c r="F92" s="841"/>
      <c r="G92" s="841"/>
      <c r="H92" s="841"/>
      <c r="I92" s="841"/>
      <c r="J92" s="841"/>
      <c r="K92" s="841"/>
      <c r="L92" s="841"/>
      <c r="M92" s="841"/>
      <c r="N92" s="841"/>
      <c r="O92" s="435" t="str">
        <f t="shared" si="22"/>
        <v/>
      </c>
    </row>
    <row r="93" spans="1:15">
      <c r="A93" s="702" t="s">
        <v>468</v>
      </c>
      <c r="B93" t="s">
        <v>424</v>
      </c>
      <c r="D93" s="841"/>
      <c r="E93" s="841"/>
      <c r="F93" s="841"/>
      <c r="G93" s="841"/>
      <c r="H93" s="841"/>
      <c r="I93" s="841"/>
      <c r="J93" s="841"/>
      <c r="K93" s="841"/>
      <c r="L93" s="841"/>
      <c r="M93" s="841"/>
      <c r="N93" s="841"/>
      <c r="O93" s="435" t="str">
        <f t="shared" si="22"/>
        <v/>
      </c>
    </row>
    <row r="94" spans="1:15">
      <c r="A94" s="702" t="s">
        <v>468</v>
      </c>
      <c r="B94" t="s">
        <v>427</v>
      </c>
      <c r="D94" s="841"/>
      <c r="E94" s="841"/>
      <c r="F94" s="841"/>
      <c r="G94" s="841"/>
      <c r="H94" s="841"/>
      <c r="I94" s="841"/>
      <c r="J94" s="841"/>
      <c r="K94" s="841"/>
      <c r="L94" s="841"/>
      <c r="M94" s="841"/>
      <c r="N94" s="841"/>
      <c r="O94" s="435" t="str">
        <f t="shared" si="22"/>
        <v/>
      </c>
    </row>
    <row r="95" spans="1:15">
      <c r="A95" s="702" t="s">
        <v>456</v>
      </c>
      <c r="B95" t="s">
        <v>425</v>
      </c>
      <c r="D95" s="841"/>
      <c r="E95" s="841"/>
      <c r="F95" s="841"/>
      <c r="G95" s="841"/>
      <c r="H95" s="841"/>
      <c r="I95" s="841"/>
      <c r="J95" s="841"/>
      <c r="K95" s="841"/>
      <c r="L95" s="841"/>
      <c r="M95" s="841"/>
      <c r="N95" s="841"/>
      <c r="O95" s="435" t="str">
        <f t="shared" si="22"/>
        <v/>
      </c>
    </row>
    <row r="96" spans="1:15">
      <c r="A96" s="702" t="s">
        <v>468</v>
      </c>
      <c r="B96" t="s">
        <v>426</v>
      </c>
      <c r="D96" s="841"/>
      <c r="E96" s="841"/>
      <c r="F96" s="841"/>
      <c r="G96" s="841"/>
      <c r="H96" s="841"/>
      <c r="I96" s="841"/>
      <c r="J96" s="841"/>
      <c r="K96" s="841"/>
      <c r="L96" s="841"/>
      <c r="M96" s="841"/>
      <c r="N96" s="841"/>
      <c r="O96" s="435" t="str">
        <f t="shared" si="22"/>
        <v/>
      </c>
    </row>
    <row r="97" spans="1:15">
      <c r="A97" s="702" t="s">
        <v>468</v>
      </c>
      <c r="B97" t="s">
        <v>428</v>
      </c>
      <c r="D97" s="841"/>
      <c r="E97" s="841"/>
      <c r="F97" s="841"/>
      <c r="G97" s="841"/>
      <c r="H97" s="841"/>
      <c r="I97" s="841"/>
      <c r="J97" s="841"/>
      <c r="K97" s="841"/>
      <c r="L97" s="841"/>
      <c r="M97" s="841"/>
      <c r="N97" s="841"/>
      <c r="O97" s="435" t="str">
        <f t="shared" si="22"/>
        <v/>
      </c>
    </row>
    <row r="98" spans="1:15">
      <c r="A98" s="702" t="s">
        <v>468</v>
      </c>
      <c r="B98" t="s">
        <v>429</v>
      </c>
      <c r="D98" s="841"/>
      <c r="E98" s="841"/>
      <c r="F98" s="841"/>
      <c r="G98" s="841"/>
      <c r="H98" s="841"/>
      <c r="I98" s="841"/>
      <c r="J98" s="841"/>
      <c r="K98" s="841"/>
      <c r="L98" s="841"/>
      <c r="M98" s="841"/>
      <c r="N98" s="841"/>
      <c r="O98" s="435" t="str">
        <f t="shared" si="22"/>
        <v/>
      </c>
    </row>
    <row r="99" spans="1:15">
      <c r="A99" s="702" t="s">
        <v>468</v>
      </c>
      <c r="B99" t="s">
        <v>430</v>
      </c>
      <c r="D99" s="841"/>
      <c r="E99" s="841"/>
      <c r="F99" s="841"/>
      <c r="G99" s="841"/>
      <c r="H99" s="841"/>
      <c r="I99" s="841"/>
      <c r="J99" s="841"/>
      <c r="K99" s="841"/>
      <c r="L99" s="841"/>
      <c r="M99" s="841"/>
      <c r="N99" s="841"/>
      <c r="O99" s="719" t="str">
        <f t="shared" si="22"/>
        <v/>
      </c>
    </row>
    <row r="100" spans="1:15" ht="3.65" customHeight="1">
      <c r="A100" s="742"/>
      <c r="D100" s="90"/>
      <c r="E100" s="90"/>
      <c r="F100" s="90"/>
      <c r="G100" s="90"/>
      <c r="H100" s="90"/>
      <c r="I100" s="90"/>
      <c r="J100" s="90"/>
      <c r="K100" s="90"/>
      <c r="L100" s="90"/>
      <c r="M100" s="90"/>
      <c r="N100" s="90"/>
      <c r="O100" s="720"/>
    </row>
    <row r="101" spans="1:15" ht="10.5">
      <c r="A101" s="701"/>
      <c r="B101" s="697" t="s">
        <v>431</v>
      </c>
      <c r="C101" s="698"/>
      <c r="D101" s="723">
        <f>SUM(D89:D99)</f>
        <v>0</v>
      </c>
      <c r="E101" s="723">
        <f t="shared" ref="E101:N101" si="23">SUM(E89:E99)</f>
        <v>0</v>
      </c>
      <c r="F101" s="723">
        <f t="shared" si="23"/>
        <v>0</v>
      </c>
      <c r="G101" s="723">
        <f t="shared" si="23"/>
        <v>0</v>
      </c>
      <c r="H101" s="723">
        <f t="shared" si="23"/>
        <v>0</v>
      </c>
      <c r="I101" s="723">
        <f t="shared" si="23"/>
        <v>0</v>
      </c>
      <c r="J101" s="723">
        <f t="shared" si="23"/>
        <v>0</v>
      </c>
      <c r="K101" s="723">
        <f t="shared" si="23"/>
        <v>0</v>
      </c>
      <c r="L101" s="723">
        <f t="shared" si="23"/>
        <v>0</v>
      </c>
      <c r="M101" s="723">
        <f t="shared" si="23"/>
        <v>0</v>
      </c>
      <c r="N101" s="723">
        <f t="shared" si="23"/>
        <v>0</v>
      </c>
      <c r="O101" s="720" t="str">
        <f t="shared" si="22"/>
        <v/>
      </c>
    </row>
    <row r="102" spans="1:15">
      <c r="A102" s="701"/>
      <c r="D102" s="90"/>
      <c r="E102" s="90"/>
      <c r="F102" s="90"/>
      <c r="G102" s="90"/>
      <c r="H102" s="90"/>
      <c r="I102" s="90"/>
      <c r="J102" s="90"/>
      <c r="K102" s="90"/>
      <c r="L102" s="90"/>
      <c r="M102" s="90"/>
      <c r="N102" s="90"/>
      <c r="O102" s="725"/>
    </row>
    <row r="103" spans="1:15" ht="10.5">
      <c r="A103" s="701"/>
      <c r="B103" s="696" t="s">
        <v>271</v>
      </c>
      <c r="C103" s="34"/>
      <c r="D103" s="155">
        <f>D87+D101</f>
        <v>0</v>
      </c>
      <c r="E103" s="155">
        <f t="shared" ref="E103:N103" si="24">E87+E101</f>
        <v>0</v>
      </c>
      <c r="F103" s="155">
        <f t="shared" si="24"/>
        <v>0</v>
      </c>
      <c r="G103" s="155">
        <f t="shared" si="24"/>
        <v>0</v>
      </c>
      <c r="H103" s="155">
        <f t="shared" si="24"/>
        <v>0</v>
      </c>
      <c r="I103" s="155">
        <f t="shared" si="24"/>
        <v>0</v>
      </c>
      <c r="J103" s="155">
        <f t="shared" si="24"/>
        <v>0</v>
      </c>
      <c r="K103" s="155">
        <f t="shared" si="24"/>
        <v>0</v>
      </c>
      <c r="L103" s="155">
        <f t="shared" si="24"/>
        <v>0</v>
      </c>
      <c r="M103" s="155">
        <f t="shared" si="24"/>
        <v>0</v>
      </c>
      <c r="N103" s="155">
        <f t="shared" si="24"/>
        <v>0</v>
      </c>
      <c r="O103" s="435" t="str">
        <f t="shared" si="22"/>
        <v/>
      </c>
    </row>
    <row r="104" spans="1:15" ht="10.5">
      <c r="A104" s="701"/>
      <c r="B104" s="696"/>
      <c r="D104" s="90"/>
      <c r="E104" s="90"/>
      <c r="F104" s="90"/>
      <c r="G104" s="90"/>
      <c r="H104" s="90"/>
      <c r="I104" s="90"/>
      <c r="J104" s="90"/>
      <c r="K104" s="90"/>
      <c r="L104" s="90"/>
      <c r="M104" s="90"/>
      <c r="N104" s="90"/>
      <c r="O104" s="725"/>
    </row>
    <row r="105" spans="1:15" ht="10.5">
      <c r="A105" s="701"/>
      <c r="B105" s="696" t="s">
        <v>436</v>
      </c>
      <c r="D105" s="90"/>
      <c r="E105" s="90"/>
      <c r="F105" s="90"/>
      <c r="G105" s="90"/>
      <c r="H105" s="90"/>
      <c r="I105" s="90"/>
      <c r="J105" s="90"/>
      <c r="K105" s="90"/>
      <c r="L105" s="90"/>
      <c r="M105" s="90"/>
      <c r="N105" s="90"/>
      <c r="O105" s="725"/>
    </row>
    <row r="106" spans="1:15">
      <c r="A106" s="702" t="s">
        <v>469</v>
      </c>
      <c r="B106" t="s">
        <v>444</v>
      </c>
      <c r="D106" s="841"/>
      <c r="E106" s="841"/>
      <c r="F106" s="841"/>
      <c r="G106" s="841"/>
      <c r="H106" s="841"/>
      <c r="I106" s="841"/>
      <c r="J106" s="841"/>
      <c r="K106" s="841"/>
      <c r="L106" s="841"/>
      <c r="M106" s="841"/>
      <c r="N106" s="841"/>
      <c r="O106" s="725" t="str">
        <f t="shared" ref="O106:O118" si="25">IFERROR((N106/K106)^(1/COUNT(L106:N106))-1,"")</f>
        <v/>
      </c>
    </row>
    <row r="107" spans="1:15">
      <c r="A107" s="702" t="s">
        <v>469</v>
      </c>
      <c r="B107" t="s">
        <v>451</v>
      </c>
      <c r="D107" s="841"/>
      <c r="E107" s="841"/>
      <c r="F107" s="841"/>
      <c r="G107" s="841"/>
      <c r="H107" s="841"/>
      <c r="I107" s="841"/>
      <c r="J107" s="841"/>
      <c r="K107" s="841"/>
      <c r="L107" s="841"/>
      <c r="M107" s="841"/>
      <c r="N107" s="841"/>
      <c r="O107" s="725" t="str">
        <f t="shared" si="25"/>
        <v/>
      </c>
    </row>
    <row r="108" spans="1:15">
      <c r="A108" s="702" t="s">
        <v>469</v>
      </c>
      <c r="B108" t="s">
        <v>432</v>
      </c>
      <c r="D108" s="841"/>
      <c r="E108" s="841"/>
      <c r="F108" s="841"/>
      <c r="G108" s="841"/>
      <c r="H108" s="841"/>
      <c r="I108" s="841"/>
      <c r="J108" s="841"/>
      <c r="K108" s="841"/>
      <c r="L108" s="841"/>
      <c r="M108" s="841"/>
      <c r="N108" s="841"/>
      <c r="O108" s="725" t="str">
        <f t="shared" si="25"/>
        <v/>
      </c>
    </row>
    <row r="109" spans="1:15">
      <c r="A109" s="702" t="s">
        <v>469</v>
      </c>
      <c r="B109" t="s">
        <v>445</v>
      </c>
      <c r="D109" s="841"/>
      <c r="E109" s="841"/>
      <c r="F109" s="841"/>
      <c r="G109" s="841"/>
      <c r="H109" s="841"/>
      <c r="I109" s="841"/>
      <c r="J109" s="841"/>
      <c r="K109" s="841"/>
      <c r="L109" s="841"/>
      <c r="M109" s="841"/>
      <c r="N109" s="841"/>
      <c r="O109" s="725" t="str">
        <f t="shared" si="25"/>
        <v/>
      </c>
    </row>
    <row r="110" spans="1:15">
      <c r="A110" s="702" t="s">
        <v>469</v>
      </c>
      <c r="B110" t="s">
        <v>446</v>
      </c>
      <c r="D110" s="841"/>
      <c r="E110" s="841"/>
      <c r="F110" s="841"/>
      <c r="G110" s="841"/>
      <c r="H110" s="841"/>
      <c r="I110" s="841"/>
      <c r="J110" s="841"/>
      <c r="K110" s="841"/>
      <c r="L110" s="841"/>
      <c r="M110" s="841"/>
      <c r="N110" s="841"/>
      <c r="O110" s="725" t="str">
        <f t="shared" si="25"/>
        <v/>
      </c>
    </row>
    <row r="111" spans="1:15">
      <c r="A111" s="702" t="s">
        <v>459</v>
      </c>
      <c r="B111" t="s">
        <v>447</v>
      </c>
      <c r="D111" s="841"/>
      <c r="E111" s="841"/>
      <c r="F111" s="841"/>
      <c r="G111" s="841"/>
      <c r="H111" s="841"/>
      <c r="I111" s="841"/>
      <c r="J111" s="841"/>
      <c r="K111" s="841"/>
      <c r="L111" s="841"/>
      <c r="M111" s="841"/>
      <c r="N111" s="841"/>
      <c r="O111" s="725" t="str">
        <f t="shared" si="25"/>
        <v/>
      </c>
    </row>
    <row r="112" spans="1:15">
      <c r="A112" s="702" t="s">
        <v>128</v>
      </c>
      <c r="B112" t="s">
        <v>448</v>
      </c>
      <c r="D112" s="841"/>
      <c r="E112" s="841"/>
      <c r="F112" s="841"/>
      <c r="G112" s="841"/>
      <c r="H112" s="841"/>
      <c r="I112" s="841"/>
      <c r="J112" s="841"/>
      <c r="K112" s="841"/>
      <c r="L112" s="841"/>
      <c r="M112" s="841"/>
      <c r="N112" s="841"/>
      <c r="O112" s="725" t="str">
        <f t="shared" si="25"/>
        <v/>
      </c>
    </row>
    <row r="113" spans="1:15">
      <c r="A113" s="702" t="s">
        <v>128</v>
      </c>
      <c r="B113" t="s">
        <v>449</v>
      </c>
      <c r="D113" s="841"/>
      <c r="E113" s="841"/>
      <c r="F113" s="841"/>
      <c r="G113" s="841"/>
      <c r="H113" s="841"/>
      <c r="I113" s="841"/>
      <c r="J113" s="841"/>
      <c r="K113" s="841"/>
      <c r="L113" s="841"/>
      <c r="M113" s="841"/>
      <c r="N113" s="841"/>
      <c r="O113" s="725" t="str">
        <f t="shared" si="25"/>
        <v/>
      </c>
    </row>
    <row r="114" spans="1:15">
      <c r="A114" s="702" t="s">
        <v>469</v>
      </c>
      <c r="B114" t="s">
        <v>452</v>
      </c>
      <c r="D114" s="841"/>
      <c r="E114" s="841"/>
      <c r="F114" s="841"/>
      <c r="G114" s="841"/>
      <c r="H114" s="841"/>
      <c r="I114" s="841"/>
      <c r="J114" s="841"/>
      <c r="K114" s="841"/>
      <c r="L114" s="841"/>
      <c r="M114" s="841"/>
      <c r="N114" s="841"/>
      <c r="O114" s="725" t="str">
        <f t="shared" si="25"/>
        <v/>
      </c>
    </row>
    <row r="115" spans="1:15">
      <c r="A115" s="702" t="s">
        <v>469</v>
      </c>
      <c r="B115" t="s">
        <v>453</v>
      </c>
      <c r="D115" s="841"/>
      <c r="E115" s="841"/>
      <c r="F115" s="841"/>
      <c r="G115" s="841"/>
      <c r="H115" s="841"/>
      <c r="I115" s="841"/>
      <c r="J115" s="841"/>
      <c r="K115" s="841"/>
      <c r="L115" s="841"/>
      <c r="M115" s="841"/>
      <c r="N115" s="841"/>
      <c r="O115" s="725" t="str">
        <f t="shared" si="25"/>
        <v/>
      </c>
    </row>
    <row r="116" spans="1:15">
      <c r="A116" s="702" t="s">
        <v>469</v>
      </c>
      <c r="B116" t="s">
        <v>454</v>
      </c>
      <c r="D116" s="841"/>
      <c r="E116" s="841"/>
      <c r="F116" s="841"/>
      <c r="G116" s="841"/>
      <c r="H116" s="841"/>
      <c r="I116" s="841"/>
      <c r="J116" s="841"/>
      <c r="K116" s="841"/>
      <c r="L116" s="841"/>
      <c r="M116" s="841"/>
      <c r="N116" s="841"/>
      <c r="O116" s="725" t="str">
        <f t="shared" si="25"/>
        <v/>
      </c>
    </row>
    <row r="117" spans="1:15" ht="4.9000000000000004" customHeight="1">
      <c r="A117" s="742"/>
      <c r="D117" s="90"/>
      <c r="E117" s="90"/>
      <c r="F117" s="90"/>
      <c r="G117" s="90"/>
      <c r="H117" s="90"/>
      <c r="I117" s="90"/>
      <c r="J117" s="90"/>
      <c r="K117" s="90"/>
      <c r="L117" s="90"/>
      <c r="M117" s="90"/>
      <c r="N117" s="90"/>
      <c r="O117" s="725"/>
    </row>
    <row r="118" spans="1:15" ht="10.5">
      <c r="A118" s="701"/>
      <c r="B118" s="697" t="s">
        <v>450</v>
      </c>
      <c r="C118" s="797"/>
      <c r="D118" s="724">
        <f t="shared" ref="D118:N118" si="26">SUM(D106:D116)</f>
        <v>0</v>
      </c>
      <c r="E118" s="724">
        <f t="shared" si="26"/>
        <v>0</v>
      </c>
      <c r="F118" s="724">
        <f t="shared" si="26"/>
        <v>0</v>
      </c>
      <c r="G118" s="724">
        <f t="shared" si="26"/>
        <v>0</v>
      </c>
      <c r="H118" s="724">
        <f t="shared" si="26"/>
        <v>0</v>
      </c>
      <c r="I118" s="724">
        <f t="shared" si="26"/>
        <v>0</v>
      </c>
      <c r="J118" s="724">
        <f t="shared" si="26"/>
        <v>0</v>
      </c>
      <c r="K118" s="724">
        <f t="shared" si="26"/>
        <v>0</v>
      </c>
      <c r="L118" s="724">
        <f t="shared" si="26"/>
        <v>0</v>
      </c>
      <c r="M118" s="724">
        <f t="shared" si="26"/>
        <v>0</v>
      </c>
      <c r="N118" s="724">
        <f t="shared" si="26"/>
        <v>0</v>
      </c>
      <c r="O118" s="726" t="str">
        <f t="shared" si="25"/>
        <v/>
      </c>
    </row>
    <row r="119" spans="1:15">
      <c r="A119" s="701"/>
      <c r="D119" s="90"/>
      <c r="E119" s="90"/>
      <c r="F119" s="90"/>
      <c r="G119" s="90"/>
      <c r="H119" s="90"/>
      <c r="I119" s="90"/>
      <c r="J119" s="90"/>
      <c r="K119" s="90"/>
      <c r="L119" s="90"/>
      <c r="M119" s="90"/>
      <c r="N119" s="90"/>
      <c r="O119" s="725"/>
    </row>
    <row r="120" spans="1:15">
      <c r="A120" s="702" t="s">
        <v>128</v>
      </c>
      <c r="B120" t="s">
        <v>437</v>
      </c>
      <c r="D120" s="841"/>
      <c r="E120" s="841"/>
      <c r="F120" s="841"/>
      <c r="G120" s="841"/>
      <c r="H120" s="841"/>
      <c r="I120" s="841"/>
      <c r="J120" s="841"/>
      <c r="K120" s="841"/>
      <c r="L120" s="841"/>
      <c r="M120" s="841"/>
      <c r="N120" s="841"/>
      <c r="O120" s="435" t="str">
        <f>IFERROR((N120/K120)^(1/COUNT(L120:N120))-1,"")</f>
        <v/>
      </c>
    </row>
    <row r="121" spans="1:15">
      <c r="A121" s="702" t="s">
        <v>128</v>
      </c>
      <c r="B121" t="s">
        <v>438</v>
      </c>
      <c r="D121" s="841"/>
      <c r="E121" s="841"/>
      <c r="F121" s="841"/>
      <c r="G121" s="841"/>
      <c r="H121" s="841"/>
      <c r="I121" s="841"/>
      <c r="J121" s="841"/>
      <c r="K121" s="841"/>
      <c r="L121" s="841"/>
      <c r="M121" s="841"/>
      <c r="N121" s="841"/>
      <c r="O121" s="435" t="str">
        <f>IFERROR((N121/K121)^(1/COUNT(L121:N121))-1,"")</f>
        <v/>
      </c>
    </row>
    <row r="122" spans="1:15">
      <c r="A122" s="702" t="s">
        <v>469</v>
      </c>
      <c r="B122" t="s">
        <v>432</v>
      </c>
      <c r="D122" s="841"/>
      <c r="E122" s="841"/>
      <c r="F122" s="841"/>
      <c r="G122" s="841"/>
      <c r="H122" s="841"/>
      <c r="I122" s="841"/>
      <c r="J122" s="841"/>
      <c r="K122" s="841"/>
      <c r="L122" s="841"/>
      <c r="M122" s="841"/>
      <c r="N122" s="841"/>
      <c r="O122" s="725" t="str">
        <f t="shared" ref="O122:O130" si="27">IFERROR((N122/K122)^(1/COUNT(L122:N122))-1,"")</f>
        <v/>
      </c>
    </row>
    <row r="123" spans="1:15">
      <c r="A123" s="702" t="s">
        <v>459</v>
      </c>
      <c r="B123" t="s">
        <v>439</v>
      </c>
      <c r="D123" s="841"/>
      <c r="E123" s="841"/>
      <c r="F123" s="841"/>
      <c r="G123" s="841"/>
      <c r="H123" s="841"/>
      <c r="I123" s="841"/>
      <c r="J123" s="841"/>
      <c r="K123" s="841"/>
      <c r="L123" s="841"/>
      <c r="M123" s="841"/>
      <c r="N123" s="841"/>
      <c r="O123" s="725" t="str">
        <f t="shared" si="27"/>
        <v/>
      </c>
    </row>
    <row r="124" spans="1:15">
      <c r="A124" s="702" t="s">
        <v>128</v>
      </c>
      <c r="B124" t="s">
        <v>440</v>
      </c>
      <c r="D124" s="841"/>
      <c r="E124" s="841"/>
      <c r="F124" s="841"/>
      <c r="G124" s="841"/>
      <c r="H124" s="841"/>
      <c r="I124" s="841"/>
      <c r="J124" s="841"/>
      <c r="K124" s="841"/>
      <c r="L124" s="841"/>
      <c r="M124" s="841"/>
      <c r="N124" s="841"/>
      <c r="O124" s="725" t="str">
        <f t="shared" si="27"/>
        <v/>
      </c>
    </row>
    <row r="125" spans="1:15">
      <c r="A125" s="702" t="s">
        <v>469</v>
      </c>
      <c r="B125" t="s">
        <v>433</v>
      </c>
      <c r="D125" s="841"/>
      <c r="E125" s="841"/>
      <c r="F125" s="841"/>
      <c r="G125" s="841"/>
      <c r="H125" s="841"/>
      <c r="I125" s="841"/>
      <c r="J125" s="841"/>
      <c r="K125" s="841"/>
      <c r="L125" s="841"/>
      <c r="M125" s="841"/>
      <c r="N125" s="841"/>
      <c r="O125" s="725" t="str">
        <f t="shared" si="27"/>
        <v/>
      </c>
    </row>
    <row r="126" spans="1:15">
      <c r="A126" s="702" t="s">
        <v>128</v>
      </c>
      <c r="B126" t="s">
        <v>441</v>
      </c>
      <c r="D126" s="841"/>
      <c r="E126" s="841"/>
      <c r="F126" s="841"/>
      <c r="G126" s="841"/>
      <c r="H126" s="841"/>
      <c r="I126" s="841"/>
      <c r="J126" s="841"/>
      <c r="K126" s="841"/>
      <c r="L126" s="841"/>
      <c r="M126" s="841"/>
      <c r="N126" s="841"/>
      <c r="O126" s="725" t="str">
        <f t="shared" si="27"/>
        <v/>
      </c>
    </row>
    <row r="127" spans="1:15">
      <c r="A127" s="702" t="s">
        <v>128</v>
      </c>
      <c r="B127" t="s">
        <v>442</v>
      </c>
      <c r="D127" s="841"/>
      <c r="E127" s="841"/>
      <c r="F127" s="841"/>
      <c r="G127" s="841"/>
      <c r="H127" s="841"/>
      <c r="I127" s="841"/>
      <c r="J127" s="841"/>
      <c r="K127" s="841"/>
      <c r="L127" s="841"/>
      <c r="M127" s="841"/>
      <c r="N127" s="841"/>
      <c r="O127" s="725" t="str">
        <f t="shared" si="27"/>
        <v/>
      </c>
    </row>
    <row r="128" spans="1:15">
      <c r="A128" s="702" t="s">
        <v>128</v>
      </c>
      <c r="B128" t="s">
        <v>443</v>
      </c>
      <c r="D128" s="841"/>
      <c r="E128" s="841"/>
      <c r="F128" s="841"/>
      <c r="G128" s="841"/>
      <c r="H128" s="841"/>
      <c r="I128" s="841"/>
      <c r="J128" s="841"/>
      <c r="K128" s="841"/>
      <c r="L128" s="841"/>
      <c r="M128" s="841"/>
      <c r="N128" s="841"/>
      <c r="O128" s="725" t="str">
        <f t="shared" si="27"/>
        <v/>
      </c>
    </row>
    <row r="129" spans="1:16" ht="3.65" customHeight="1">
      <c r="A129" s="742"/>
      <c r="D129" s="90"/>
      <c r="E129" s="90"/>
      <c r="F129" s="90"/>
      <c r="G129" s="90"/>
      <c r="H129" s="90"/>
      <c r="I129" s="90"/>
      <c r="J129" s="90"/>
      <c r="K129" s="90"/>
      <c r="L129" s="90"/>
      <c r="M129" s="90"/>
      <c r="N129" s="90"/>
      <c r="O129" s="725"/>
    </row>
    <row r="130" spans="1:16" ht="10.5">
      <c r="A130" s="701"/>
      <c r="B130" s="697" t="s">
        <v>434</v>
      </c>
      <c r="C130" s="797"/>
      <c r="D130" s="724">
        <f>SUM(D120:D128)</f>
        <v>0</v>
      </c>
      <c r="E130" s="724">
        <f t="shared" ref="E130:N130" si="28">SUM(E120:E128)</f>
        <v>0</v>
      </c>
      <c r="F130" s="724">
        <f t="shared" si="28"/>
        <v>0</v>
      </c>
      <c r="G130" s="724">
        <f t="shared" si="28"/>
        <v>0</v>
      </c>
      <c r="H130" s="724">
        <f t="shared" si="28"/>
        <v>0</v>
      </c>
      <c r="I130" s="724">
        <f t="shared" si="28"/>
        <v>0</v>
      </c>
      <c r="J130" s="724">
        <f t="shared" si="28"/>
        <v>0</v>
      </c>
      <c r="K130" s="724">
        <f t="shared" si="28"/>
        <v>0</v>
      </c>
      <c r="L130" s="724">
        <f t="shared" si="28"/>
        <v>0</v>
      </c>
      <c r="M130" s="724">
        <f t="shared" si="28"/>
        <v>0</v>
      </c>
      <c r="N130" s="724">
        <f t="shared" si="28"/>
        <v>0</v>
      </c>
      <c r="O130" s="726" t="str">
        <f t="shared" si="27"/>
        <v/>
      </c>
    </row>
    <row r="131" spans="1:16">
      <c r="A131" s="701"/>
      <c r="D131" s="90"/>
      <c r="E131" s="90"/>
      <c r="F131" s="90"/>
      <c r="G131" s="90"/>
      <c r="H131" s="90"/>
      <c r="I131" s="90"/>
      <c r="J131" s="90"/>
      <c r="K131" s="90"/>
      <c r="L131" s="90"/>
      <c r="M131" s="90"/>
      <c r="N131" s="90"/>
      <c r="O131" s="725"/>
    </row>
    <row r="132" spans="1:16" ht="10.5">
      <c r="A132" s="701"/>
      <c r="B132" s="696" t="s">
        <v>272</v>
      </c>
      <c r="C132" s="34"/>
      <c r="D132" s="155">
        <f t="shared" ref="D132:N132" si="29">D130+D118</f>
        <v>0</v>
      </c>
      <c r="E132" s="155">
        <f t="shared" si="29"/>
        <v>0</v>
      </c>
      <c r="F132" s="155">
        <f t="shared" si="29"/>
        <v>0</v>
      </c>
      <c r="G132" s="155">
        <f t="shared" si="29"/>
        <v>0</v>
      </c>
      <c r="H132" s="155">
        <f t="shared" si="29"/>
        <v>0</v>
      </c>
      <c r="I132" s="155">
        <f t="shared" si="29"/>
        <v>0</v>
      </c>
      <c r="J132" s="155">
        <f t="shared" si="29"/>
        <v>0</v>
      </c>
      <c r="K132" s="155">
        <f t="shared" si="29"/>
        <v>0</v>
      </c>
      <c r="L132" s="155">
        <f t="shared" si="29"/>
        <v>0</v>
      </c>
      <c r="M132" s="155">
        <f t="shared" si="29"/>
        <v>0</v>
      </c>
      <c r="N132" s="155">
        <f t="shared" si="29"/>
        <v>0</v>
      </c>
      <c r="O132" s="725" t="str">
        <f t="shared" ref="O132:O134" si="30">IFERROR((N132/K132)^(1/COUNT(L132:N132))-1,"")</f>
        <v/>
      </c>
    </row>
    <row r="133" spans="1:16">
      <c r="A133" s="701"/>
      <c r="D133" s="90"/>
      <c r="E133" s="90"/>
      <c r="F133" s="90"/>
      <c r="G133" s="90"/>
      <c r="H133" s="90"/>
      <c r="I133" s="90"/>
      <c r="J133" s="90"/>
      <c r="K133" s="90"/>
      <c r="L133" s="90"/>
      <c r="M133" s="90"/>
      <c r="N133" s="90"/>
      <c r="O133" s="725"/>
    </row>
    <row r="134" spans="1:16" ht="11" thickBot="1">
      <c r="A134" s="701"/>
      <c r="B134" s="656" t="s">
        <v>455</v>
      </c>
      <c r="C134" s="659"/>
      <c r="D134" s="660">
        <f t="shared" ref="D134:N134" si="31">D103-D132</f>
        <v>0</v>
      </c>
      <c r="E134" s="660">
        <f t="shared" si="31"/>
        <v>0</v>
      </c>
      <c r="F134" s="660">
        <f t="shared" si="31"/>
        <v>0</v>
      </c>
      <c r="G134" s="660">
        <f t="shared" si="31"/>
        <v>0</v>
      </c>
      <c r="H134" s="660">
        <f t="shared" si="31"/>
        <v>0</v>
      </c>
      <c r="I134" s="660">
        <f t="shared" si="31"/>
        <v>0</v>
      </c>
      <c r="J134" s="660">
        <f t="shared" si="31"/>
        <v>0</v>
      </c>
      <c r="K134" s="660">
        <f t="shared" si="31"/>
        <v>0</v>
      </c>
      <c r="L134" s="660">
        <f t="shared" si="31"/>
        <v>0</v>
      </c>
      <c r="M134" s="660">
        <f t="shared" si="31"/>
        <v>0</v>
      </c>
      <c r="N134" s="660">
        <f t="shared" si="31"/>
        <v>0</v>
      </c>
      <c r="O134" s="735" t="str">
        <f t="shared" si="30"/>
        <v/>
      </c>
    </row>
    <row r="135" spans="1:16">
      <c r="A135" s="701"/>
    </row>
    <row r="136" spans="1:16" ht="10.5" hidden="1" outlineLevel="1">
      <c r="A136" s="701"/>
      <c r="B136" s="408" t="s">
        <v>98</v>
      </c>
      <c r="C136" s="347"/>
      <c r="D136" s="409">
        <f>D134</f>
        <v>0</v>
      </c>
      <c r="E136" s="409">
        <f t="shared" ref="E136:N136" si="32">E134</f>
        <v>0</v>
      </c>
      <c r="F136" s="409">
        <f t="shared" si="32"/>
        <v>0</v>
      </c>
      <c r="G136" s="409">
        <f t="shared" si="32"/>
        <v>0</v>
      </c>
      <c r="H136" s="409">
        <f t="shared" si="32"/>
        <v>0</v>
      </c>
      <c r="I136" s="409">
        <f t="shared" si="32"/>
        <v>0</v>
      </c>
      <c r="J136" s="409">
        <f t="shared" si="32"/>
        <v>0</v>
      </c>
      <c r="K136" s="409">
        <f t="shared" si="32"/>
        <v>0</v>
      </c>
      <c r="L136" s="409">
        <f t="shared" si="32"/>
        <v>0</v>
      </c>
      <c r="M136" s="409">
        <f t="shared" si="32"/>
        <v>0</v>
      </c>
      <c r="N136" s="409">
        <f t="shared" si="32"/>
        <v>0</v>
      </c>
      <c r="O136" s="347"/>
      <c r="P136" s="30" t="s">
        <v>284</v>
      </c>
    </row>
    <row r="137" spans="1:16" collapsed="1">
      <c r="A137" s="701"/>
    </row>
    <row r="138" spans="1:16">
      <c r="A138" s="701"/>
    </row>
    <row r="139" spans="1:16" ht="10.5">
      <c r="A139" s="701"/>
      <c r="B139" s="653" t="s">
        <v>487</v>
      </c>
      <c r="C139" s="653"/>
      <c r="D139" s="653"/>
      <c r="E139" s="653"/>
      <c r="F139" s="653"/>
      <c r="G139" s="653"/>
      <c r="H139" s="653"/>
      <c r="I139" s="653"/>
      <c r="J139" s="653"/>
      <c r="K139" s="653"/>
      <c r="L139" s="653"/>
      <c r="M139" s="653"/>
      <c r="N139" s="653"/>
      <c r="O139" s="653"/>
    </row>
    <row r="140" spans="1:16" ht="10.5">
      <c r="A140" s="701"/>
      <c r="B140" s="418" t="str">
        <f>B15</f>
        <v>(USD k)</v>
      </c>
      <c r="C140" s="419"/>
      <c r="D140" s="419" t="str">
        <f t="shared" ref="D140:N140" si="33">D15</f>
        <v>FYTE</v>
      </c>
      <c r="E140" s="419" t="str">
        <f t="shared" si="33"/>
        <v>FYTE</v>
      </c>
      <c r="F140" s="419" t="str">
        <f t="shared" si="33"/>
        <v>FYTE</v>
      </c>
      <c r="G140" s="419" t="str">
        <f t="shared" si="33"/>
        <v>FYTE</v>
      </c>
      <c r="H140" s="419" t="str">
        <f t="shared" si="33"/>
        <v>FYTE</v>
      </c>
      <c r="I140" s="419" t="str">
        <f t="shared" si="33"/>
        <v>FYTE</v>
      </c>
      <c r="J140" s="419" t="str">
        <f t="shared" si="33"/>
        <v>FY21</v>
      </c>
      <c r="K140" s="419" t="str">
        <f t="shared" si="33"/>
        <v>FY22</v>
      </c>
      <c r="L140" s="419" t="str">
        <f t="shared" si="33"/>
        <v>FY23</v>
      </c>
      <c r="M140" s="419" t="str">
        <f t="shared" si="33"/>
        <v>FY24</v>
      </c>
      <c r="N140" s="419" t="str">
        <f t="shared" si="33"/>
        <v>FY25</v>
      </c>
      <c r="O140" s="420" t="s">
        <v>406</v>
      </c>
    </row>
    <row r="141" spans="1:16" ht="10.5">
      <c r="A141" s="701"/>
      <c r="B141" s="561" t="s">
        <v>488</v>
      </c>
      <c r="C141" s="707"/>
      <c r="D141" s="840"/>
      <c r="E141" s="840"/>
      <c r="F141" s="840"/>
      <c r="G141" s="840"/>
      <c r="H141" s="840"/>
      <c r="I141" s="840"/>
      <c r="J141" s="840"/>
      <c r="K141" s="840"/>
      <c r="L141" s="840"/>
      <c r="M141" s="840"/>
      <c r="N141" s="840"/>
      <c r="O141" s="733" t="str">
        <f t="shared" ref="O141:O143" si="34">IFERROR((N141/K141)^(1/COUNT(L141:N141))-1,"")</f>
        <v/>
      </c>
      <c r="P141" s="152" t="s">
        <v>503</v>
      </c>
    </row>
    <row r="142" spans="1:16" ht="10.5">
      <c r="A142" s="701"/>
      <c r="B142" s="712" t="s">
        <v>489</v>
      </c>
      <c r="C142" s="713"/>
      <c r="D142" s="859"/>
      <c r="E142" s="859"/>
      <c r="F142" s="859"/>
      <c r="G142" s="859"/>
      <c r="H142" s="859"/>
      <c r="I142" s="859"/>
      <c r="J142" s="859"/>
      <c r="K142" s="859"/>
      <c r="L142" s="859"/>
      <c r="M142" s="859"/>
      <c r="N142" s="859"/>
      <c r="O142" s="728" t="str">
        <f t="shared" si="34"/>
        <v/>
      </c>
    </row>
    <row r="143" spans="1:16" ht="10.5">
      <c r="A143" s="701"/>
      <c r="B143" s="447" t="s">
        <v>490</v>
      </c>
      <c r="C143" s="707"/>
      <c r="D143" s="718">
        <f>SUM(D141:D142)</f>
        <v>0</v>
      </c>
      <c r="E143" s="718">
        <f t="shared" ref="E143:N143" si="35">SUM(E141:E142)</f>
        <v>0</v>
      </c>
      <c r="F143" s="718">
        <f t="shared" si="35"/>
        <v>0</v>
      </c>
      <c r="G143" s="718">
        <f t="shared" si="35"/>
        <v>0</v>
      </c>
      <c r="H143" s="718">
        <f t="shared" si="35"/>
        <v>0</v>
      </c>
      <c r="I143" s="718">
        <f t="shared" si="35"/>
        <v>0</v>
      </c>
      <c r="J143" s="718">
        <f t="shared" si="35"/>
        <v>0</v>
      </c>
      <c r="K143" s="718">
        <f t="shared" si="35"/>
        <v>0</v>
      </c>
      <c r="L143" s="718">
        <f t="shared" si="35"/>
        <v>0</v>
      </c>
      <c r="M143" s="718">
        <f t="shared" si="35"/>
        <v>0</v>
      </c>
      <c r="N143" s="718">
        <f t="shared" si="35"/>
        <v>0</v>
      </c>
      <c r="O143" s="727" t="str">
        <f t="shared" si="34"/>
        <v/>
      </c>
    </row>
    <row r="144" spans="1:16" ht="10.5">
      <c r="A144" s="701"/>
      <c r="B144" s="447"/>
      <c r="C144" s="707"/>
      <c r="D144" s="714"/>
      <c r="E144" s="714"/>
      <c r="F144" s="714"/>
      <c r="G144" s="714"/>
      <c r="H144" s="714"/>
      <c r="I144" s="714"/>
      <c r="J144" s="714"/>
      <c r="K144" s="714"/>
      <c r="L144" s="714"/>
      <c r="M144" s="714"/>
      <c r="N144" s="714"/>
      <c r="O144" s="736" t="s">
        <v>541</v>
      </c>
    </row>
    <row r="145" spans="1:15" ht="10.5">
      <c r="A145" s="701"/>
      <c r="B145" s="447" t="s">
        <v>491</v>
      </c>
      <c r="C145" s="707"/>
      <c r="D145" s="644" t="str">
        <f>IFERROR(D141/D$16,"")</f>
        <v/>
      </c>
      <c r="E145" s="644" t="str">
        <f t="shared" ref="E145:N145" si="36">IFERROR(E141/E$16,"")</f>
        <v/>
      </c>
      <c r="F145" s="644" t="str">
        <f t="shared" si="36"/>
        <v/>
      </c>
      <c r="G145" s="644" t="str">
        <f t="shared" si="36"/>
        <v/>
      </c>
      <c r="H145" s="644" t="str">
        <f t="shared" si="36"/>
        <v/>
      </c>
      <c r="I145" s="644" t="str">
        <f t="shared" si="36"/>
        <v/>
      </c>
      <c r="J145" s="644" t="str">
        <f t="shared" si="36"/>
        <v/>
      </c>
      <c r="K145" s="644" t="str">
        <f t="shared" si="36"/>
        <v/>
      </c>
      <c r="L145" s="644" t="str">
        <f t="shared" si="36"/>
        <v/>
      </c>
      <c r="M145" s="644" t="str">
        <f t="shared" si="36"/>
        <v/>
      </c>
      <c r="N145" s="644" t="str">
        <f t="shared" si="36"/>
        <v/>
      </c>
      <c r="O145" s="435" t="str">
        <f t="shared" ref="O145" si="37">IFERROR(AVERAGE(L145:N145),"")</f>
        <v/>
      </c>
    </row>
    <row r="146" spans="1:15" ht="10.5">
      <c r="A146" s="701"/>
      <c r="B146" s="447" t="s">
        <v>492</v>
      </c>
      <c r="C146" s="707"/>
      <c r="D146" s="800" t="str">
        <f>IFERROR(AVERAGE(B145:D145), "")</f>
        <v/>
      </c>
      <c r="E146" s="800" t="str">
        <f t="shared" ref="E146" si="38">IFERROR(AVERAGE(C145:E145), "")</f>
        <v/>
      </c>
      <c r="F146" s="800" t="str">
        <f t="shared" ref="F146" si="39">IFERROR(AVERAGE(D145:F145), "")</f>
        <v/>
      </c>
      <c r="G146" s="800" t="str">
        <f t="shared" ref="G146" si="40">IFERROR(AVERAGE(E145:G145), "")</f>
        <v/>
      </c>
      <c r="H146" s="800" t="str">
        <f t="shared" ref="H146" si="41">IFERROR(AVERAGE(F145:H145), "")</f>
        <v/>
      </c>
      <c r="I146" s="800" t="str">
        <f t="shared" ref="I146" si="42">IFERROR(AVERAGE(G145:I145), "")</f>
        <v/>
      </c>
      <c r="J146" s="800" t="str">
        <f>IFERROR(AVERAGE(H145:J145), "")</f>
        <v/>
      </c>
      <c r="K146" s="800" t="str">
        <f>IFERROR(AVERAGE(I145:K145), "")</f>
        <v/>
      </c>
      <c r="L146" s="800" t="str">
        <f t="shared" ref="L146" si="43">IFERROR(AVERAGE(J145:L145), "")</f>
        <v/>
      </c>
      <c r="M146" s="800" t="str">
        <f t="shared" ref="M146" si="44">IFERROR(AVERAGE(K145:M145), "")</f>
        <v/>
      </c>
      <c r="N146" s="800" t="str">
        <f t="shared" ref="N146" si="45">IFERROR(AVERAGE(L145:N145), "")</f>
        <v/>
      </c>
      <c r="O146" s="727"/>
    </row>
    <row r="147" spans="1:15" ht="6" customHeight="1" thickBot="1">
      <c r="A147" s="701"/>
      <c r="B147" s="747"/>
      <c r="C147" s="748"/>
      <c r="D147" s="748"/>
      <c r="E147" s="748"/>
      <c r="F147" s="748"/>
      <c r="G147" s="748"/>
      <c r="H147" s="748"/>
      <c r="I147" s="748"/>
      <c r="J147" s="748"/>
      <c r="K147" s="748"/>
      <c r="L147" s="748"/>
      <c r="M147" s="748"/>
      <c r="N147" s="748"/>
      <c r="O147" s="749"/>
    </row>
    <row r="148" spans="1:15" ht="10.5">
      <c r="A148" s="701"/>
      <c r="B148" s="447"/>
      <c r="C148" s="707"/>
      <c r="D148" s="707"/>
      <c r="E148" s="707"/>
      <c r="F148" s="707"/>
      <c r="G148" s="707"/>
      <c r="H148" s="707"/>
      <c r="I148" s="707"/>
      <c r="J148" s="707"/>
      <c r="K148" s="707"/>
      <c r="L148" s="707"/>
      <c r="M148" s="707"/>
      <c r="N148" s="707"/>
      <c r="O148" s="729"/>
    </row>
    <row r="149" spans="1:15" ht="10.5">
      <c r="A149" s="701"/>
      <c r="B149" s="653" t="s">
        <v>502</v>
      </c>
      <c r="C149" s="653"/>
      <c r="D149" s="653"/>
      <c r="E149" s="653"/>
      <c r="F149" s="653"/>
      <c r="G149" s="653"/>
      <c r="H149" s="653"/>
      <c r="I149" s="653"/>
      <c r="J149" s="653"/>
      <c r="K149" s="653"/>
      <c r="L149" s="653"/>
      <c r="M149" s="653"/>
      <c r="N149" s="653"/>
      <c r="O149" s="653"/>
    </row>
    <row r="150" spans="1:15" ht="10.5">
      <c r="A150" s="701"/>
      <c r="B150" s="418" t="str">
        <f>B15</f>
        <v>(USD k)</v>
      </c>
      <c r="C150" s="419"/>
      <c r="D150" s="419" t="str">
        <f t="shared" ref="D150:N150" si="46">D15</f>
        <v>FYTE</v>
      </c>
      <c r="E150" s="419" t="str">
        <f t="shared" si="46"/>
        <v>FYTE</v>
      </c>
      <c r="F150" s="419" t="str">
        <f t="shared" si="46"/>
        <v>FYTE</v>
      </c>
      <c r="G150" s="419" t="str">
        <f t="shared" si="46"/>
        <v>FYTE</v>
      </c>
      <c r="H150" s="419" t="str">
        <f t="shared" si="46"/>
        <v>FYTE</v>
      </c>
      <c r="I150" s="419" t="str">
        <f t="shared" si="46"/>
        <v>FYTE</v>
      </c>
      <c r="J150" s="419" t="str">
        <f t="shared" si="46"/>
        <v>FY21</v>
      </c>
      <c r="K150" s="419" t="str">
        <f t="shared" si="46"/>
        <v>FY22</v>
      </c>
      <c r="L150" s="419" t="str">
        <f t="shared" si="46"/>
        <v>FY23</v>
      </c>
      <c r="M150" s="419" t="str">
        <f t="shared" si="46"/>
        <v>FY24</v>
      </c>
      <c r="N150" s="419" t="str">
        <f t="shared" si="46"/>
        <v>FY25</v>
      </c>
      <c r="O150" s="420" t="s">
        <v>406</v>
      </c>
    </row>
    <row r="151" spans="1:15" ht="10.5">
      <c r="A151" s="701"/>
      <c r="B151" s="561" t="s">
        <v>544</v>
      </c>
      <c r="C151" s="707"/>
      <c r="D151" s="746" t="str">
        <f>IFERROR(IF(C184="","",(D184+D32-C184)),"")</f>
        <v/>
      </c>
      <c r="E151" s="746">
        <f>IFERROR(IF(D184="","",(E184+E32-D184)),"")</f>
        <v>0</v>
      </c>
      <c r="F151" s="746">
        <f t="shared" ref="F151:N151" si="47">IFERROR(IF(E184="","",(F184+F32-E184)),"")</f>
        <v>0</v>
      </c>
      <c r="G151" s="746">
        <f t="shared" si="47"/>
        <v>0</v>
      </c>
      <c r="H151" s="746">
        <f t="shared" si="47"/>
        <v>0</v>
      </c>
      <c r="I151" s="746">
        <f t="shared" si="47"/>
        <v>0</v>
      </c>
      <c r="J151" s="746">
        <f t="shared" si="47"/>
        <v>0</v>
      </c>
      <c r="K151" s="746">
        <f t="shared" si="47"/>
        <v>0</v>
      </c>
      <c r="L151" s="746">
        <f t="shared" si="47"/>
        <v>0</v>
      </c>
      <c r="M151" s="746">
        <f t="shared" si="47"/>
        <v>0</v>
      </c>
      <c r="N151" s="746">
        <f t="shared" si="47"/>
        <v>0</v>
      </c>
      <c r="O151" s="733" t="str">
        <f t="shared" ref="O151:O152" si="48">IFERROR((N151/K151)^(1/COUNT(L151:N151))-1,"")</f>
        <v/>
      </c>
    </row>
    <row r="152" spans="1:15" ht="10.5">
      <c r="A152" s="701"/>
      <c r="B152" s="838" t="s">
        <v>545</v>
      </c>
      <c r="C152" s="743"/>
      <c r="D152" s="745" t="str">
        <f>D151</f>
        <v/>
      </c>
      <c r="E152" s="755">
        <f t="shared" ref="E152:N152" si="49">E151</f>
        <v>0</v>
      </c>
      <c r="F152" s="755">
        <f t="shared" si="49"/>
        <v>0</v>
      </c>
      <c r="G152" s="755">
        <f t="shared" si="49"/>
        <v>0</v>
      </c>
      <c r="H152" s="755">
        <f t="shared" si="49"/>
        <v>0</v>
      </c>
      <c r="I152" s="755">
        <f t="shared" si="49"/>
        <v>0</v>
      </c>
      <c r="J152" s="755">
        <f t="shared" si="49"/>
        <v>0</v>
      </c>
      <c r="K152" s="755">
        <f t="shared" si="49"/>
        <v>0</v>
      </c>
      <c r="L152" s="755">
        <f t="shared" si="49"/>
        <v>0</v>
      </c>
      <c r="M152" s="755">
        <f t="shared" si="49"/>
        <v>0</v>
      </c>
      <c r="N152" s="755">
        <f t="shared" si="49"/>
        <v>0</v>
      </c>
      <c r="O152" s="744" t="str">
        <f t="shared" si="48"/>
        <v/>
      </c>
    </row>
    <row r="153" spans="1:15" ht="10.5">
      <c r="A153" s="701"/>
      <c r="B153" s="447"/>
      <c r="C153" s="707"/>
      <c r="D153" s="714"/>
      <c r="E153" s="714"/>
      <c r="F153" s="714"/>
      <c r="G153" s="714"/>
      <c r="H153" s="714"/>
      <c r="I153" s="714"/>
      <c r="J153" s="714"/>
      <c r="K153" s="714"/>
      <c r="L153" s="714"/>
      <c r="M153" s="714"/>
      <c r="N153" s="714"/>
      <c r="O153" s="736" t="s">
        <v>541</v>
      </c>
    </row>
    <row r="154" spans="1:15" ht="10.5">
      <c r="A154" s="701"/>
      <c r="B154" s="447" t="s">
        <v>491</v>
      </c>
      <c r="C154" s="707"/>
      <c r="D154" s="644" t="str">
        <f>IFERROR(D152/D$16,"")</f>
        <v/>
      </c>
      <c r="E154" s="644" t="str">
        <f t="shared" ref="E154:N154" si="50">IFERROR(E152/E$16,"")</f>
        <v/>
      </c>
      <c r="F154" s="644" t="str">
        <f t="shared" si="50"/>
        <v/>
      </c>
      <c r="G154" s="644" t="str">
        <f t="shared" si="50"/>
        <v/>
      </c>
      <c r="H154" s="644" t="str">
        <f t="shared" si="50"/>
        <v/>
      </c>
      <c r="I154" s="644" t="str">
        <f t="shared" si="50"/>
        <v/>
      </c>
      <c r="J154" s="644" t="str">
        <f t="shared" si="50"/>
        <v/>
      </c>
      <c r="K154" s="644" t="str">
        <f t="shared" si="50"/>
        <v/>
      </c>
      <c r="L154" s="644" t="str">
        <f t="shared" si="50"/>
        <v/>
      </c>
      <c r="M154" s="644" t="str">
        <f t="shared" si="50"/>
        <v/>
      </c>
      <c r="N154" s="644" t="str">
        <f t="shared" si="50"/>
        <v/>
      </c>
      <c r="O154" s="435" t="str">
        <f t="shared" ref="O154" si="51">IFERROR(AVERAGE(L154:N154),"")</f>
        <v/>
      </c>
    </row>
    <row r="155" spans="1:15" ht="10.5">
      <c r="A155" s="701"/>
      <c r="B155" s="447" t="s">
        <v>492</v>
      </c>
      <c r="C155" s="707"/>
      <c r="D155" s="800" t="str">
        <f>IFERROR(AVERAGE(B154:D154), "")</f>
        <v/>
      </c>
      <c r="E155" s="800" t="str">
        <f t="shared" ref="E155" si="52">IFERROR(AVERAGE(C154:E154), "")</f>
        <v/>
      </c>
      <c r="F155" s="800" t="str">
        <f t="shared" ref="F155" si="53">IFERROR(AVERAGE(D154:F154), "")</f>
        <v/>
      </c>
      <c r="G155" s="800" t="str">
        <f t="shared" ref="G155" si="54">IFERROR(AVERAGE(E154:G154), "")</f>
        <v/>
      </c>
      <c r="H155" s="800" t="str">
        <f t="shared" ref="H155" si="55">IFERROR(AVERAGE(F154:H154), "")</f>
        <v/>
      </c>
      <c r="I155" s="800" t="str">
        <f t="shared" ref="I155" si="56">IFERROR(AVERAGE(G154:I154), "")</f>
        <v/>
      </c>
      <c r="J155" s="800" t="str">
        <f>IFERROR(AVERAGE(H154:J154), "")</f>
        <v/>
      </c>
      <c r="K155" s="800" t="str">
        <f>IFERROR(AVERAGE(I154:K154), "")</f>
        <v/>
      </c>
      <c r="L155" s="800" t="str">
        <f t="shared" ref="L155" si="57">IFERROR(AVERAGE(J154:L154), "")</f>
        <v/>
      </c>
      <c r="M155" s="800" t="str">
        <f t="shared" ref="M155" si="58">IFERROR(AVERAGE(K154:M154), "")</f>
        <v/>
      </c>
      <c r="N155" s="800" t="str">
        <f t="shared" ref="N155" si="59">IFERROR(AVERAGE(L154:N154), "")</f>
        <v/>
      </c>
      <c r="O155" s="727"/>
    </row>
    <row r="156" spans="1:15" ht="3.65" customHeight="1" thickBot="1">
      <c r="A156" s="701"/>
      <c r="B156" s="747"/>
      <c r="C156" s="748"/>
      <c r="D156" s="748"/>
      <c r="E156" s="748"/>
      <c r="F156" s="748"/>
      <c r="G156" s="748"/>
      <c r="H156" s="748"/>
      <c r="I156" s="748"/>
      <c r="J156" s="748"/>
      <c r="K156" s="748"/>
      <c r="L156" s="748"/>
      <c r="M156" s="748"/>
      <c r="N156" s="748"/>
      <c r="O156" s="749"/>
    </row>
    <row r="157" spans="1:15" ht="10.5">
      <c r="A157" s="701"/>
      <c r="B157" s="447"/>
      <c r="C157" s="707"/>
      <c r="D157" s="707"/>
      <c r="E157" s="707"/>
      <c r="F157" s="707"/>
      <c r="G157" s="707"/>
      <c r="H157" s="707"/>
      <c r="I157" s="707"/>
      <c r="J157" s="707"/>
      <c r="K157" s="707"/>
      <c r="L157" s="707"/>
      <c r="M157" s="707"/>
      <c r="N157" s="707"/>
      <c r="O157" s="729"/>
    </row>
    <row r="158" spans="1:15" ht="10.5" outlineLevel="1">
      <c r="A158" s="701"/>
      <c r="B158" s="653" t="s">
        <v>220</v>
      </c>
      <c r="C158" s="653"/>
      <c r="D158" s="653"/>
      <c r="E158" s="653"/>
      <c r="F158" s="653"/>
      <c r="G158" s="653"/>
      <c r="H158" s="653"/>
      <c r="I158" s="653"/>
      <c r="J158" s="653"/>
      <c r="K158" s="653"/>
      <c r="L158" s="653"/>
      <c r="M158" s="653"/>
      <c r="N158" s="653"/>
      <c r="O158" s="730"/>
    </row>
    <row r="159" spans="1:15" ht="10.5" outlineLevel="1">
      <c r="A159" s="701"/>
      <c r="B159" s="418" t="str">
        <f>B15</f>
        <v>(USD k)</v>
      </c>
      <c r="C159" s="419"/>
      <c r="D159" s="419" t="str">
        <f t="shared" ref="D159:N159" si="60">D15</f>
        <v>FYTE</v>
      </c>
      <c r="E159" s="419" t="str">
        <f t="shared" si="60"/>
        <v>FYTE</v>
      </c>
      <c r="F159" s="419" t="str">
        <f t="shared" si="60"/>
        <v>FYTE</v>
      </c>
      <c r="G159" s="419" t="str">
        <f t="shared" si="60"/>
        <v>FYTE</v>
      </c>
      <c r="H159" s="419" t="str">
        <f t="shared" si="60"/>
        <v>FYTE</v>
      </c>
      <c r="I159" s="419" t="str">
        <f t="shared" si="60"/>
        <v>FYTE</v>
      </c>
      <c r="J159" s="419" t="str">
        <f t="shared" si="60"/>
        <v>FY21</v>
      </c>
      <c r="K159" s="419" t="str">
        <f t="shared" si="60"/>
        <v>FY22</v>
      </c>
      <c r="L159" s="419" t="str">
        <f t="shared" si="60"/>
        <v>FY23</v>
      </c>
      <c r="M159" s="419" t="str">
        <f t="shared" si="60"/>
        <v>FY24</v>
      </c>
      <c r="N159" s="419" t="str">
        <f t="shared" si="60"/>
        <v>FY25</v>
      </c>
      <c r="O159" s="731" t="s">
        <v>406</v>
      </c>
    </row>
    <row r="160" spans="1:15" outlineLevel="1">
      <c r="A160" s="701" t="s">
        <v>468</v>
      </c>
      <c r="B160" t="s">
        <v>467</v>
      </c>
      <c r="D160" s="90">
        <f t="shared" ref="D160:M160" si="61">SUMIF($A$72:$A$119,$A160, D$72:D$119)</f>
        <v>0</v>
      </c>
      <c r="E160" s="90">
        <f t="shared" si="61"/>
        <v>0</v>
      </c>
      <c r="F160" s="90">
        <f t="shared" si="61"/>
        <v>0</v>
      </c>
      <c r="G160" s="90">
        <f t="shared" si="61"/>
        <v>0</v>
      </c>
      <c r="H160" s="90">
        <f t="shared" si="61"/>
        <v>0</v>
      </c>
      <c r="I160" s="90">
        <f t="shared" si="61"/>
        <v>0</v>
      </c>
      <c r="J160" s="90">
        <f t="shared" si="61"/>
        <v>0</v>
      </c>
      <c r="K160" s="90">
        <f t="shared" si="61"/>
        <v>0</v>
      </c>
      <c r="L160" s="90">
        <f t="shared" si="61"/>
        <v>0</v>
      </c>
      <c r="M160" s="90">
        <f t="shared" si="61"/>
        <v>0</v>
      </c>
      <c r="N160" s="90">
        <f>SUMIF($A$72:$A$134,$A160, N$72:N$134)</f>
        <v>0</v>
      </c>
      <c r="O160" s="725" t="str">
        <f t="shared" ref="O160:O162" si="62">IFERROR((N160/K160)^(1/COUNT(L160:N160))-1,"")</f>
        <v/>
      </c>
    </row>
    <row r="161" spans="1:15" outlineLevel="1">
      <c r="A161" s="701" t="s">
        <v>469</v>
      </c>
      <c r="B161" s="796" t="s">
        <v>466</v>
      </c>
      <c r="C161" s="796"/>
      <c r="D161" s="706">
        <f t="shared" ref="D161:M161" si="63">-SUMIF($A$72:$A$119,$A161, D$72:D$119)</f>
        <v>0</v>
      </c>
      <c r="E161" s="706">
        <f t="shared" si="63"/>
        <v>0</v>
      </c>
      <c r="F161" s="706">
        <f t="shared" si="63"/>
        <v>0</v>
      </c>
      <c r="G161" s="706">
        <f t="shared" si="63"/>
        <v>0</v>
      </c>
      <c r="H161" s="706">
        <f t="shared" si="63"/>
        <v>0</v>
      </c>
      <c r="I161" s="706">
        <f t="shared" si="63"/>
        <v>0</v>
      </c>
      <c r="J161" s="706">
        <f t="shared" si="63"/>
        <v>0</v>
      </c>
      <c r="K161" s="706">
        <f t="shared" si="63"/>
        <v>0</v>
      </c>
      <c r="L161" s="706">
        <f t="shared" si="63"/>
        <v>0</v>
      </c>
      <c r="M161" s="706">
        <f t="shared" si="63"/>
        <v>0</v>
      </c>
      <c r="N161" s="706">
        <f>-SUMIF($A$72:$A$134,$A161, N$72:N$134)</f>
        <v>0</v>
      </c>
      <c r="O161" s="732" t="str">
        <f t="shared" si="62"/>
        <v/>
      </c>
    </row>
    <row r="162" spans="1:15" ht="10.5" outlineLevel="1">
      <c r="A162" s="701"/>
      <c r="B162" s="34" t="s">
        <v>88</v>
      </c>
      <c r="C162" s="34"/>
      <c r="D162" s="155">
        <f>D160+D161</f>
        <v>0</v>
      </c>
      <c r="E162" s="155">
        <f t="shared" ref="E162:N162" si="64">E160+E161</f>
        <v>0</v>
      </c>
      <c r="F162" s="155">
        <f t="shared" si="64"/>
        <v>0</v>
      </c>
      <c r="G162" s="155">
        <f t="shared" si="64"/>
        <v>0</v>
      </c>
      <c r="H162" s="155">
        <f t="shared" si="64"/>
        <v>0</v>
      </c>
      <c r="I162" s="155">
        <f t="shared" si="64"/>
        <v>0</v>
      </c>
      <c r="J162" s="155">
        <f t="shared" si="64"/>
        <v>0</v>
      </c>
      <c r="K162" s="155">
        <f t="shared" si="64"/>
        <v>0</v>
      </c>
      <c r="L162" s="155">
        <f t="shared" si="64"/>
        <v>0</v>
      </c>
      <c r="M162" s="155">
        <f t="shared" si="64"/>
        <v>0</v>
      </c>
      <c r="N162" s="751">
        <f t="shared" si="64"/>
        <v>0</v>
      </c>
      <c r="O162" s="725" t="str">
        <f t="shared" si="62"/>
        <v/>
      </c>
    </row>
    <row r="163" spans="1:15" ht="10.5" outlineLevel="1">
      <c r="A163" s="701"/>
      <c r="B163" s="34"/>
      <c r="C163" s="34"/>
      <c r="D163" s="155"/>
      <c r="E163" s="155"/>
      <c r="F163" s="155"/>
      <c r="G163" s="155"/>
      <c r="H163" s="155"/>
      <c r="I163" s="155"/>
      <c r="J163" s="155"/>
      <c r="K163" s="155"/>
      <c r="L163" s="155"/>
      <c r="M163" s="155"/>
      <c r="N163" s="155"/>
      <c r="O163" s="736" t="s">
        <v>541</v>
      </c>
    </row>
    <row r="164" spans="1:15" ht="10.5" outlineLevel="1">
      <c r="A164" s="701"/>
      <c r="B164" s="34" t="s">
        <v>461</v>
      </c>
      <c r="D164" s="644" t="str">
        <f>IFERROR(D162/D$16,"")</f>
        <v/>
      </c>
      <c r="E164" s="644" t="str">
        <f t="shared" ref="E164:N164" si="65">IFERROR(E162/E$16,"")</f>
        <v/>
      </c>
      <c r="F164" s="644" t="str">
        <f t="shared" si="65"/>
        <v/>
      </c>
      <c r="G164" s="644" t="str">
        <f t="shared" si="65"/>
        <v/>
      </c>
      <c r="H164" s="644" t="str">
        <f t="shared" si="65"/>
        <v/>
      </c>
      <c r="I164" s="644" t="str">
        <f t="shared" si="65"/>
        <v/>
      </c>
      <c r="J164" s="644" t="str">
        <f t="shared" si="65"/>
        <v/>
      </c>
      <c r="K164" s="644" t="str">
        <f t="shared" si="65"/>
        <v/>
      </c>
      <c r="L164" s="644" t="str">
        <f t="shared" si="65"/>
        <v/>
      </c>
      <c r="M164" s="644" t="str">
        <f t="shared" si="65"/>
        <v/>
      </c>
      <c r="N164" s="644" t="str">
        <f t="shared" si="65"/>
        <v/>
      </c>
      <c r="O164" s="435" t="str">
        <f t="shared" ref="O164" si="66">IFERROR(AVERAGE(L164:N164),"")</f>
        <v/>
      </c>
    </row>
    <row r="165" spans="1:15" ht="10.5" outlineLevel="1">
      <c r="A165" s="701"/>
      <c r="B165" s="34" t="s">
        <v>462</v>
      </c>
      <c r="D165" s="800" t="str">
        <f>IFERROR(AVERAGE(B164:D164), "")</f>
        <v/>
      </c>
      <c r="E165" s="800" t="str">
        <f t="shared" ref="E165:N165" si="67">IFERROR(AVERAGE(C164:E164), "")</f>
        <v/>
      </c>
      <c r="F165" s="800" t="str">
        <f t="shared" si="67"/>
        <v/>
      </c>
      <c r="G165" s="800" t="str">
        <f t="shared" si="67"/>
        <v/>
      </c>
      <c r="H165" s="800" t="str">
        <f t="shared" si="67"/>
        <v/>
      </c>
      <c r="I165" s="800" t="str">
        <f t="shared" si="67"/>
        <v/>
      </c>
      <c r="J165" s="800" t="str">
        <f>IFERROR(AVERAGE(H164:J164), "")</f>
        <v/>
      </c>
      <c r="K165" s="800" t="str">
        <f>IFERROR(AVERAGE(I164:K164), "")</f>
        <v/>
      </c>
      <c r="L165" s="800" t="str">
        <f t="shared" si="67"/>
        <v/>
      </c>
      <c r="M165" s="800" t="str">
        <f t="shared" si="67"/>
        <v/>
      </c>
      <c r="N165" s="800" t="str">
        <f t="shared" si="67"/>
        <v/>
      </c>
      <c r="O165" s="725"/>
    </row>
    <row r="166" spans="1:15" outlineLevel="1">
      <c r="A166" s="701"/>
      <c r="O166" s="725"/>
    </row>
    <row r="167" spans="1:15" ht="11" outlineLevel="1" thickBot="1">
      <c r="A167" s="701"/>
      <c r="B167" s="656" t="s">
        <v>470</v>
      </c>
      <c r="C167" s="659"/>
      <c r="D167" s="660">
        <f>IFERROR(C162-D162,"")</f>
        <v>0</v>
      </c>
      <c r="E167" s="660">
        <f t="shared" ref="E167:N167" si="68">IFERROR(D162-E162,"")</f>
        <v>0</v>
      </c>
      <c r="F167" s="660">
        <f t="shared" si="68"/>
        <v>0</v>
      </c>
      <c r="G167" s="660">
        <f t="shared" si="68"/>
        <v>0</v>
      </c>
      <c r="H167" s="660">
        <f t="shared" si="68"/>
        <v>0</v>
      </c>
      <c r="I167" s="660">
        <f t="shared" si="68"/>
        <v>0</v>
      </c>
      <c r="J167" s="660">
        <f>IFERROR(I162-J162,"")</f>
        <v>0</v>
      </c>
      <c r="K167" s="660">
        <f t="shared" si="68"/>
        <v>0</v>
      </c>
      <c r="L167" s="660">
        <f t="shared" si="68"/>
        <v>0</v>
      </c>
      <c r="M167" s="660">
        <f t="shared" si="68"/>
        <v>0</v>
      </c>
      <c r="N167" s="660">
        <f t="shared" si="68"/>
        <v>0</v>
      </c>
      <c r="O167" s="735"/>
    </row>
    <row r="168" spans="1:15" ht="10.5" outlineLevel="1">
      <c r="A168" s="701"/>
      <c r="B168" s="19"/>
      <c r="O168" s="644"/>
    </row>
    <row r="169" spans="1:15" ht="10.5" outlineLevel="1">
      <c r="A169" s="701"/>
      <c r="B169" s="653" t="s">
        <v>463</v>
      </c>
      <c r="C169" s="653"/>
      <c r="D169" s="653"/>
      <c r="E169" s="653"/>
      <c r="F169" s="653"/>
      <c r="G169" s="653"/>
      <c r="H169" s="653"/>
      <c r="I169" s="653"/>
      <c r="J169" s="653"/>
      <c r="K169" s="653"/>
      <c r="L169" s="653"/>
      <c r="M169" s="653"/>
      <c r="N169" s="653"/>
      <c r="O169" s="730"/>
    </row>
    <row r="170" spans="1:15" ht="10.5" outlineLevel="1">
      <c r="A170" s="701"/>
      <c r="B170" s="418" t="str">
        <f>B15</f>
        <v>(USD k)</v>
      </c>
      <c r="C170" s="419"/>
      <c r="D170" s="419" t="str">
        <f t="shared" ref="D170:N170" si="69">D15</f>
        <v>FYTE</v>
      </c>
      <c r="E170" s="419" t="str">
        <f t="shared" si="69"/>
        <v>FYTE</v>
      </c>
      <c r="F170" s="419" t="str">
        <f t="shared" si="69"/>
        <v>FYTE</v>
      </c>
      <c r="G170" s="419" t="str">
        <f t="shared" si="69"/>
        <v>FYTE</v>
      </c>
      <c r="H170" s="419" t="str">
        <f t="shared" si="69"/>
        <v>FYTE</v>
      </c>
      <c r="I170" s="419" t="str">
        <f t="shared" si="69"/>
        <v>FYTE</v>
      </c>
      <c r="J170" s="419" t="str">
        <f t="shared" si="69"/>
        <v>FY21</v>
      </c>
      <c r="K170" s="419" t="str">
        <f t="shared" si="69"/>
        <v>FY22</v>
      </c>
      <c r="L170" s="419" t="str">
        <f t="shared" si="69"/>
        <v>FY23</v>
      </c>
      <c r="M170" s="419" t="str">
        <f t="shared" si="69"/>
        <v>FY24</v>
      </c>
      <c r="N170" s="419" t="str">
        <f t="shared" si="69"/>
        <v>FY25</v>
      </c>
      <c r="O170" s="731" t="s">
        <v>406</v>
      </c>
    </row>
    <row r="171" spans="1:15" outlineLevel="1">
      <c r="A171" s="701" t="s">
        <v>128</v>
      </c>
      <c r="B171" t="s">
        <v>124</v>
      </c>
      <c r="D171" s="90">
        <f t="shared" ref="D171:M171" si="70">-SUMIF($A$72:$A$119,$A171, D$72:D$119)</f>
        <v>0</v>
      </c>
      <c r="E171" s="90">
        <f t="shared" si="70"/>
        <v>0</v>
      </c>
      <c r="F171" s="90">
        <f t="shared" si="70"/>
        <v>0</v>
      </c>
      <c r="G171" s="90">
        <f t="shared" si="70"/>
        <v>0</v>
      </c>
      <c r="H171" s="90">
        <f t="shared" si="70"/>
        <v>0</v>
      </c>
      <c r="I171" s="90">
        <f t="shared" si="70"/>
        <v>0</v>
      </c>
      <c r="J171" s="90">
        <f t="shared" si="70"/>
        <v>0</v>
      </c>
      <c r="K171" s="90">
        <f t="shared" si="70"/>
        <v>0</v>
      </c>
      <c r="L171" s="90">
        <f t="shared" si="70"/>
        <v>0</v>
      </c>
      <c r="M171" s="90">
        <f t="shared" si="70"/>
        <v>0</v>
      </c>
      <c r="N171" s="90">
        <f>-SUMIF($A$72:$A$134,$A171, N$72:N$134)</f>
        <v>0</v>
      </c>
      <c r="O171" s="725" t="str">
        <f t="shared" ref="O171:O173" si="71">IFERROR((N171/K171)^(1/COUNT(L171:N171))-1,"")</f>
        <v/>
      </c>
    </row>
    <row r="172" spans="1:15" outlineLevel="1">
      <c r="A172" s="701" t="s">
        <v>472</v>
      </c>
      <c r="B172" s="796" t="s">
        <v>473</v>
      </c>
      <c r="C172" s="796"/>
      <c r="D172" s="706">
        <f t="shared" ref="D172:M172" si="72">SUMIF($A$72:$A$119,$A172, D$72:D$119)</f>
        <v>0</v>
      </c>
      <c r="E172" s="706">
        <f t="shared" si="72"/>
        <v>0</v>
      </c>
      <c r="F172" s="706">
        <f t="shared" si="72"/>
        <v>0</v>
      </c>
      <c r="G172" s="706">
        <f t="shared" si="72"/>
        <v>0</v>
      </c>
      <c r="H172" s="706">
        <f t="shared" si="72"/>
        <v>0</v>
      </c>
      <c r="I172" s="706">
        <f t="shared" si="72"/>
        <v>0</v>
      </c>
      <c r="J172" s="706">
        <f t="shared" si="72"/>
        <v>0</v>
      </c>
      <c r="K172" s="706">
        <f t="shared" si="72"/>
        <v>0</v>
      </c>
      <c r="L172" s="706">
        <f t="shared" si="72"/>
        <v>0</v>
      </c>
      <c r="M172" s="706">
        <f t="shared" si="72"/>
        <v>0</v>
      </c>
      <c r="N172" s="706">
        <f>SUMIF($A$72:$A$134,$A172, N$72:N$134)</f>
        <v>0</v>
      </c>
      <c r="O172" s="732" t="str">
        <f t="shared" si="71"/>
        <v/>
      </c>
    </row>
    <row r="173" spans="1:15" ht="11" outlineLevel="1" thickBot="1">
      <c r="A173" s="701"/>
      <c r="B173" s="656" t="s">
        <v>463</v>
      </c>
      <c r="C173" s="659"/>
      <c r="D173" s="660">
        <f>D171+D172</f>
        <v>0</v>
      </c>
      <c r="E173" s="660">
        <f t="shared" ref="E173:N173" si="73">E171+E172</f>
        <v>0</v>
      </c>
      <c r="F173" s="660">
        <f t="shared" si="73"/>
        <v>0</v>
      </c>
      <c r="G173" s="660">
        <f t="shared" si="73"/>
        <v>0</v>
      </c>
      <c r="H173" s="660">
        <f t="shared" si="73"/>
        <v>0</v>
      </c>
      <c r="I173" s="660">
        <f t="shared" si="73"/>
        <v>0</v>
      </c>
      <c r="J173" s="660">
        <f t="shared" si="73"/>
        <v>0</v>
      </c>
      <c r="K173" s="660">
        <f t="shared" si="73"/>
        <v>0</v>
      </c>
      <c r="L173" s="660">
        <f t="shared" si="73"/>
        <v>0</v>
      </c>
      <c r="M173" s="660">
        <f t="shared" si="73"/>
        <v>0</v>
      </c>
      <c r="N173" s="660">
        <f t="shared" si="73"/>
        <v>0</v>
      </c>
      <c r="O173" s="735" t="str">
        <f t="shared" si="71"/>
        <v/>
      </c>
    </row>
    <row r="174" spans="1:15" ht="10.5" outlineLevel="1">
      <c r="A174" s="701"/>
      <c r="B174" s="34"/>
      <c r="O174" s="644"/>
    </row>
    <row r="175" spans="1:15" ht="10.5" outlineLevel="1">
      <c r="A175" s="701"/>
      <c r="B175" s="653" t="s">
        <v>474</v>
      </c>
      <c r="C175" s="653"/>
      <c r="D175" s="653"/>
      <c r="E175" s="653"/>
      <c r="F175" s="653"/>
      <c r="G175" s="653"/>
      <c r="H175" s="653"/>
      <c r="I175" s="653"/>
      <c r="J175" s="653"/>
      <c r="K175" s="653"/>
      <c r="L175" s="653"/>
      <c r="M175" s="653"/>
      <c r="N175" s="653"/>
      <c r="O175" s="730"/>
    </row>
    <row r="176" spans="1:15" ht="10.5" outlineLevel="1">
      <c r="A176" s="701"/>
      <c r="B176" s="418" t="str">
        <f>B15</f>
        <v>(USD k)</v>
      </c>
      <c r="C176" s="419"/>
      <c r="D176" s="419" t="str">
        <f t="shared" ref="D176:N176" si="74">D15</f>
        <v>FYTE</v>
      </c>
      <c r="E176" s="419" t="str">
        <f t="shared" si="74"/>
        <v>FYTE</v>
      </c>
      <c r="F176" s="419" t="str">
        <f t="shared" si="74"/>
        <v>FYTE</v>
      </c>
      <c r="G176" s="419" t="str">
        <f t="shared" si="74"/>
        <v>FYTE</v>
      </c>
      <c r="H176" s="419" t="str">
        <f t="shared" si="74"/>
        <v>FYTE</v>
      </c>
      <c r="I176" s="419" t="str">
        <f t="shared" si="74"/>
        <v>FYTE</v>
      </c>
      <c r="J176" s="419" t="str">
        <f t="shared" si="74"/>
        <v>FY21</v>
      </c>
      <c r="K176" s="419" t="str">
        <f t="shared" si="74"/>
        <v>FY22</v>
      </c>
      <c r="L176" s="419" t="str">
        <f t="shared" si="74"/>
        <v>FY23</v>
      </c>
      <c r="M176" s="419" t="str">
        <f t="shared" si="74"/>
        <v>FY24</v>
      </c>
      <c r="N176" s="419" t="str">
        <f t="shared" si="74"/>
        <v>FY25</v>
      </c>
      <c r="O176" s="731" t="s">
        <v>406</v>
      </c>
    </row>
    <row r="177" spans="1:16" outlineLevel="1">
      <c r="A177" s="701" t="s">
        <v>456</v>
      </c>
      <c r="B177" t="s">
        <v>464</v>
      </c>
      <c r="D177" s="90">
        <f t="shared" ref="D177:M177" si="75">SUMIF($A$72:$A$119,$A177, D$72:D$119)</f>
        <v>0</v>
      </c>
      <c r="E177" s="90">
        <f t="shared" si="75"/>
        <v>0</v>
      </c>
      <c r="F177" s="90">
        <f t="shared" si="75"/>
        <v>0</v>
      </c>
      <c r="G177" s="90">
        <f t="shared" si="75"/>
        <v>0</v>
      </c>
      <c r="H177" s="90">
        <f t="shared" si="75"/>
        <v>0</v>
      </c>
      <c r="I177" s="90">
        <f t="shared" si="75"/>
        <v>0</v>
      </c>
      <c r="J177" s="90">
        <f t="shared" si="75"/>
        <v>0</v>
      </c>
      <c r="K177" s="90">
        <f t="shared" si="75"/>
        <v>0</v>
      </c>
      <c r="L177" s="90">
        <f t="shared" si="75"/>
        <v>0</v>
      </c>
      <c r="M177" s="90">
        <f t="shared" si="75"/>
        <v>0</v>
      </c>
      <c r="N177" s="90">
        <f>SUMIF($A$72:$A$134,$A177, N$72:N$134)</f>
        <v>0</v>
      </c>
      <c r="O177" s="725" t="str">
        <f t="shared" ref="O177:O179" si="76">IFERROR((N177/K177)^(1/COUNT(L177:N177))-1,"")</f>
        <v/>
      </c>
    </row>
    <row r="178" spans="1:16" outlineLevel="1">
      <c r="A178" s="701" t="s">
        <v>457</v>
      </c>
      <c r="B178" t="s">
        <v>465</v>
      </c>
      <c r="D178" s="90">
        <f t="shared" ref="D178:M178" si="77">-SUMIF($A$72:$A$119,$A178, D$72:D$119)</f>
        <v>0</v>
      </c>
      <c r="E178" s="90">
        <f t="shared" si="77"/>
        <v>0</v>
      </c>
      <c r="F178" s="90">
        <f t="shared" si="77"/>
        <v>0</v>
      </c>
      <c r="G178" s="90">
        <f t="shared" si="77"/>
        <v>0</v>
      </c>
      <c r="H178" s="90">
        <f t="shared" si="77"/>
        <v>0</v>
      </c>
      <c r="I178" s="90">
        <f t="shared" si="77"/>
        <v>0</v>
      </c>
      <c r="J178" s="90">
        <f t="shared" si="77"/>
        <v>0</v>
      </c>
      <c r="K178" s="90">
        <f t="shared" si="77"/>
        <v>0</v>
      </c>
      <c r="L178" s="90">
        <f t="shared" si="77"/>
        <v>0</v>
      </c>
      <c r="M178" s="90">
        <f t="shared" si="77"/>
        <v>0</v>
      </c>
      <c r="N178" s="90">
        <f>-SUMIF($A$72:$A$134,$A178, N$72:N$134)</f>
        <v>0</v>
      </c>
      <c r="O178" s="725" t="str">
        <f t="shared" si="76"/>
        <v/>
      </c>
    </row>
    <row r="179" spans="1:16" ht="11" outlineLevel="1" thickBot="1">
      <c r="A179" s="701"/>
      <c r="B179" s="656" t="s">
        <v>477</v>
      </c>
      <c r="C179" s="659"/>
      <c r="D179" s="660">
        <f>D177+D178</f>
        <v>0</v>
      </c>
      <c r="E179" s="660">
        <f t="shared" ref="E179" si="78">E177+E178</f>
        <v>0</v>
      </c>
      <c r="F179" s="660">
        <f t="shared" ref="F179" si="79">F177+F178</f>
        <v>0</v>
      </c>
      <c r="G179" s="660">
        <f t="shared" ref="G179" si="80">G177+G178</f>
        <v>0</v>
      </c>
      <c r="H179" s="660">
        <f t="shared" ref="H179" si="81">H177+H178</f>
        <v>0</v>
      </c>
      <c r="I179" s="660">
        <f t="shared" ref="I179" si="82">I177+I178</f>
        <v>0</v>
      </c>
      <c r="J179" s="660">
        <f t="shared" ref="J179" si="83">J177+J178</f>
        <v>0</v>
      </c>
      <c r="K179" s="660">
        <f t="shared" ref="K179" si="84">K177+K178</f>
        <v>0</v>
      </c>
      <c r="L179" s="660">
        <f t="shared" ref="L179" si="85">L177+L178</f>
        <v>0</v>
      </c>
      <c r="M179" s="660">
        <f t="shared" ref="M179" si="86">M177+M178</f>
        <v>0</v>
      </c>
      <c r="N179" s="660">
        <f t="shared" ref="N179" si="87">N177+N178</f>
        <v>0</v>
      </c>
      <c r="O179" s="735" t="str">
        <f t="shared" si="76"/>
        <v/>
      </c>
    </row>
    <row r="180" spans="1:16">
      <c r="A180" s="701"/>
      <c r="O180" s="644"/>
    </row>
    <row r="181" spans="1:16" ht="10.5">
      <c r="A181" s="701"/>
      <c r="B181" s="653" t="str">
        <f>Subject&amp;"'s Balance Sheet - M&amp;A format"</f>
        <v>Netflix's Balance Sheet - M&amp;A format</v>
      </c>
      <c r="C181" s="653"/>
      <c r="D181" s="653"/>
      <c r="E181" s="653"/>
      <c r="F181" s="653"/>
      <c r="G181" s="653"/>
      <c r="H181" s="653"/>
      <c r="I181" s="653"/>
      <c r="J181" s="653"/>
      <c r="K181" s="653"/>
      <c r="L181" s="653"/>
      <c r="M181" s="653"/>
      <c r="N181" s="653"/>
      <c r="O181" s="730"/>
    </row>
    <row r="182" spans="1:16" ht="10.5">
      <c r="A182" s="701"/>
      <c r="B182" s="418" t="str">
        <f>B15</f>
        <v>(USD k)</v>
      </c>
      <c r="C182" s="419"/>
      <c r="D182" s="419" t="str">
        <f t="shared" ref="D182:N182" si="88">D15</f>
        <v>FYTE</v>
      </c>
      <c r="E182" s="419" t="str">
        <f t="shared" si="88"/>
        <v>FYTE</v>
      </c>
      <c r="F182" s="419" t="str">
        <f t="shared" si="88"/>
        <v>FYTE</v>
      </c>
      <c r="G182" s="419" t="str">
        <f t="shared" si="88"/>
        <v>FYTE</v>
      </c>
      <c r="H182" s="419" t="str">
        <f t="shared" si="88"/>
        <v>FYTE</v>
      </c>
      <c r="I182" s="419" t="str">
        <f t="shared" si="88"/>
        <v>FYTE</v>
      </c>
      <c r="J182" s="419" t="str">
        <f t="shared" si="88"/>
        <v>FY21</v>
      </c>
      <c r="K182" s="419" t="str">
        <f t="shared" si="88"/>
        <v>FY22</v>
      </c>
      <c r="L182" s="419" t="str">
        <f t="shared" si="88"/>
        <v>FY23</v>
      </c>
      <c r="M182" s="419" t="str">
        <f t="shared" si="88"/>
        <v>FY24</v>
      </c>
      <c r="N182" s="419" t="str">
        <f t="shared" si="88"/>
        <v>FY25</v>
      </c>
      <c r="O182" s="731" t="s">
        <v>406</v>
      </c>
    </row>
    <row r="183" spans="1:16" ht="10.5">
      <c r="A183" s="701"/>
      <c r="B183" s="443"/>
      <c r="C183" s="428"/>
      <c r="D183" s="708"/>
      <c r="E183" s="708"/>
      <c r="F183" s="708"/>
      <c r="G183" s="708"/>
      <c r="H183" s="708"/>
      <c r="I183" s="708"/>
      <c r="J183" s="708"/>
      <c r="K183" s="708"/>
      <c r="L183" s="708"/>
      <c r="M183" s="708"/>
      <c r="N183" s="708"/>
      <c r="O183" s="733"/>
      <c r="P183" s="30"/>
    </row>
    <row r="184" spans="1:16">
      <c r="A184" s="701" t="s">
        <v>458</v>
      </c>
      <c r="B184" s="429" t="s">
        <v>475</v>
      </c>
      <c r="C184" s="428"/>
      <c r="D184" s="423">
        <f t="shared" ref="D184:N185" si="89">SUMIF($A$72:$A$119,$A184, D$72:D$119)</f>
        <v>0</v>
      </c>
      <c r="E184" s="423">
        <f t="shared" si="89"/>
        <v>0</v>
      </c>
      <c r="F184" s="423">
        <f t="shared" si="89"/>
        <v>0</v>
      </c>
      <c r="G184" s="423">
        <f t="shared" si="89"/>
        <v>0</v>
      </c>
      <c r="H184" s="423">
        <f t="shared" si="89"/>
        <v>0</v>
      </c>
      <c r="I184" s="423">
        <f t="shared" si="89"/>
        <v>0</v>
      </c>
      <c r="J184" s="423">
        <f t="shared" si="89"/>
        <v>0</v>
      </c>
      <c r="K184" s="423">
        <f t="shared" si="89"/>
        <v>0</v>
      </c>
      <c r="L184" s="423">
        <f t="shared" si="89"/>
        <v>0</v>
      </c>
      <c r="M184" s="423">
        <f t="shared" si="89"/>
        <v>0</v>
      </c>
      <c r="N184" s="423">
        <f t="shared" si="89"/>
        <v>0</v>
      </c>
      <c r="O184" s="733" t="str">
        <f t="shared" ref="O184:O185" si="90">IFERROR((N184/K184)^(1/COUNT(L184:N184))-1,"")</f>
        <v/>
      </c>
      <c r="P184" s="152"/>
    </row>
    <row r="185" spans="1:16">
      <c r="A185" s="701" t="s">
        <v>476</v>
      </c>
      <c r="B185" s="429" t="s">
        <v>478</v>
      </c>
      <c r="C185" s="428"/>
      <c r="D185" s="423">
        <f t="shared" si="89"/>
        <v>0</v>
      </c>
      <c r="E185" s="423">
        <f t="shared" si="89"/>
        <v>0</v>
      </c>
      <c r="F185" s="423">
        <f t="shared" si="89"/>
        <v>0</v>
      </c>
      <c r="G185" s="423">
        <f t="shared" si="89"/>
        <v>0</v>
      </c>
      <c r="H185" s="423">
        <f t="shared" si="89"/>
        <v>0</v>
      </c>
      <c r="I185" s="423">
        <f t="shared" si="89"/>
        <v>0</v>
      </c>
      <c r="J185" s="423">
        <f t="shared" si="89"/>
        <v>0</v>
      </c>
      <c r="K185" s="423">
        <f t="shared" si="89"/>
        <v>0</v>
      </c>
      <c r="L185" s="423">
        <f t="shared" si="89"/>
        <v>0</v>
      </c>
      <c r="M185" s="423">
        <f t="shared" si="89"/>
        <v>0</v>
      </c>
      <c r="N185" s="423">
        <f t="shared" si="89"/>
        <v>0</v>
      </c>
      <c r="O185" s="733" t="str">
        <f t="shared" si="90"/>
        <v/>
      </c>
      <c r="P185" s="30"/>
    </row>
    <row r="186" spans="1:16">
      <c r="A186" s="701"/>
      <c r="B186" s="429"/>
      <c r="C186" s="428"/>
      <c r="D186" s="423"/>
      <c r="E186" s="423"/>
      <c r="F186" s="423"/>
      <c r="G186" s="423"/>
      <c r="H186" s="423"/>
      <c r="I186" s="423"/>
      <c r="J186" s="423"/>
      <c r="K186" s="423"/>
      <c r="L186" s="423"/>
      <c r="M186" s="423"/>
      <c r="N186" s="423"/>
      <c r="O186" s="733"/>
      <c r="P186" s="30"/>
    </row>
    <row r="187" spans="1:16" ht="10.5">
      <c r="A187" s="701"/>
      <c r="B187" s="444"/>
      <c r="C187" s="428"/>
      <c r="D187" s="423"/>
      <c r="E187" s="423"/>
      <c r="F187" s="423"/>
      <c r="G187" s="423"/>
      <c r="H187" s="423"/>
      <c r="I187" s="423"/>
      <c r="J187" s="423"/>
      <c r="K187" s="423"/>
      <c r="L187" s="423"/>
      <c r="M187" s="423"/>
      <c r="N187" s="423"/>
      <c r="O187" s="733"/>
      <c r="P187" s="30"/>
    </row>
    <row r="188" spans="1:16">
      <c r="A188" s="701"/>
      <c r="B188" s="429" t="s">
        <v>85</v>
      </c>
      <c r="C188" s="428"/>
      <c r="D188" s="423">
        <f t="shared" ref="D188:N188" si="91">D90</f>
        <v>0</v>
      </c>
      <c r="E188" s="423">
        <f t="shared" si="91"/>
        <v>0</v>
      </c>
      <c r="F188" s="423">
        <f t="shared" si="91"/>
        <v>0</v>
      </c>
      <c r="G188" s="423">
        <f t="shared" si="91"/>
        <v>0</v>
      </c>
      <c r="H188" s="423">
        <f t="shared" si="91"/>
        <v>0</v>
      </c>
      <c r="I188" s="423">
        <f t="shared" si="91"/>
        <v>0</v>
      </c>
      <c r="J188" s="423">
        <f t="shared" si="91"/>
        <v>0</v>
      </c>
      <c r="K188" s="423">
        <f t="shared" si="91"/>
        <v>0</v>
      </c>
      <c r="L188" s="423">
        <f t="shared" si="91"/>
        <v>0</v>
      </c>
      <c r="M188" s="423">
        <f t="shared" si="91"/>
        <v>0</v>
      </c>
      <c r="N188" s="423">
        <f t="shared" si="91"/>
        <v>0</v>
      </c>
      <c r="O188" s="733" t="str">
        <f t="shared" ref="O188:O205" si="92">IFERROR((N188/K188)^(1/COUNT(L188:N188))-1,"")</f>
        <v/>
      </c>
      <c r="P188" s="30"/>
    </row>
    <row r="189" spans="1:16">
      <c r="A189" s="701"/>
      <c r="B189" s="429" t="s">
        <v>86</v>
      </c>
      <c r="C189" s="428"/>
      <c r="D189" s="423">
        <f t="shared" ref="D189:N189" si="93">D91</f>
        <v>0</v>
      </c>
      <c r="E189" s="423">
        <f t="shared" si="93"/>
        <v>0</v>
      </c>
      <c r="F189" s="423">
        <f t="shared" si="93"/>
        <v>0</v>
      </c>
      <c r="G189" s="423">
        <f t="shared" si="93"/>
        <v>0</v>
      </c>
      <c r="H189" s="423">
        <f t="shared" si="93"/>
        <v>0</v>
      </c>
      <c r="I189" s="423">
        <f t="shared" si="93"/>
        <v>0</v>
      </c>
      <c r="J189" s="423">
        <f t="shared" si="93"/>
        <v>0</v>
      </c>
      <c r="K189" s="423">
        <f t="shared" si="93"/>
        <v>0</v>
      </c>
      <c r="L189" s="423">
        <f t="shared" si="93"/>
        <v>0</v>
      </c>
      <c r="M189" s="423">
        <f t="shared" si="93"/>
        <v>0</v>
      </c>
      <c r="N189" s="423">
        <f t="shared" si="93"/>
        <v>0</v>
      </c>
      <c r="O189" s="733" t="str">
        <f t="shared" si="92"/>
        <v/>
      </c>
      <c r="P189" s="30"/>
    </row>
    <row r="190" spans="1:16">
      <c r="A190" s="701"/>
      <c r="B190" s="429" t="s">
        <v>87</v>
      </c>
      <c r="C190" s="428"/>
      <c r="D190" s="423">
        <f t="shared" ref="D190:N190" si="94">-D106</f>
        <v>0</v>
      </c>
      <c r="E190" s="423">
        <f t="shared" si="94"/>
        <v>0</v>
      </c>
      <c r="F190" s="423">
        <f t="shared" si="94"/>
        <v>0</v>
      </c>
      <c r="G190" s="423">
        <f t="shared" si="94"/>
        <v>0</v>
      </c>
      <c r="H190" s="423">
        <f t="shared" si="94"/>
        <v>0</v>
      </c>
      <c r="I190" s="423">
        <f t="shared" si="94"/>
        <v>0</v>
      </c>
      <c r="J190" s="423">
        <f t="shared" si="94"/>
        <v>0</v>
      </c>
      <c r="K190" s="423">
        <f t="shared" si="94"/>
        <v>0</v>
      </c>
      <c r="L190" s="423">
        <f t="shared" si="94"/>
        <v>0</v>
      </c>
      <c r="M190" s="423">
        <f t="shared" si="94"/>
        <v>0</v>
      </c>
      <c r="N190" s="423">
        <f t="shared" si="94"/>
        <v>0</v>
      </c>
      <c r="O190" s="733" t="str">
        <f t="shared" si="92"/>
        <v/>
      </c>
      <c r="P190" s="152"/>
    </row>
    <row r="191" spans="1:16">
      <c r="A191" s="701"/>
      <c r="B191" s="429" t="s">
        <v>423</v>
      </c>
      <c r="C191" s="428"/>
      <c r="D191" s="423">
        <f t="shared" ref="D191:N191" si="95">D160-D188-D189</f>
        <v>0</v>
      </c>
      <c r="E191" s="423">
        <f t="shared" si="95"/>
        <v>0</v>
      </c>
      <c r="F191" s="423">
        <f t="shared" si="95"/>
        <v>0</v>
      </c>
      <c r="G191" s="423">
        <f t="shared" si="95"/>
        <v>0</v>
      </c>
      <c r="H191" s="423">
        <f t="shared" si="95"/>
        <v>0</v>
      </c>
      <c r="I191" s="423">
        <f t="shared" si="95"/>
        <v>0</v>
      </c>
      <c r="J191" s="423">
        <f t="shared" si="95"/>
        <v>0</v>
      </c>
      <c r="K191" s="423">
        <f t="shared" si="95"/>
        <v>0</v>
      </c>
      <c r="L191" s="423">
        <f t="shared" si="95"/>
        <v>0</v>
      </c>
      <c r="M191" s="423">
        <f t="shared" si="95"/>
        <v>0</v>
      </c>
      <c r="N191" s="423">
        <f t="shared" si="95"/>
        <v>0</v>
      </c>
      <c r="O191" s="733" t="str">
        <f t="shared" si="92"/>
        <v/>
      </c>
      <c r="P191" s="152"/>
    </row>
    <row r="192" spans="1:16">
      <c r="A192" s="701"/>
      <c r="B192" s="429" t="s">
        <v>479</v>
      </c>
      <c r="C192" s="428"/>
      <c r="D192" s="423">
        <f t="shared" ref="D192:N192" si="96">D161-D190</f>
        <v>0</v>
      </c>
      <c r="E192" s="423">
        <f t="shared" si="96"/>
        <v>0</v>
      </c>
      <c r="F192" s="423">
        <f t="shared" si="96"/>
        <v>0</v>
      </c>
      <c r="G192" s="423">
        <f t="shared" si="96"/>
        <v>0</v>
      </c>
      <c r="H192" s="423">
        <f t="shared" si="96"/>
        <v>0</v>
      </c>
      <c r="I192" s="423">
        <f t="shared" si="96"/>
        <v>0</v>
      </c>
      <c r="J192" s="423">
        <f t="shared" si="96"/>
        <v>0</v>
      </c>
      <c r="K192" s="423">
        <f t="shared" si="96"/>
        <v>0</v>
      </c>
      <c r="L192" s="423">
        <f t="shared" si="96"/>
        <v>0</v>
      </c>
      <c r="M192" s="423">
        <f t="shared" si="96"/>
        <v>0</v>
      </c>
      <c r="N192" s="423">
        <f t="shared" si="96"/>
        <v>0</v>
      </c>
      <c r="O192" s="733" t="str">
        <f t="shared" si="92"/>
        <v/>
      </c>
      <c r="P192" s="152"/>
    </row>
    <row r="193" spans="1:15" ht="10.5">
      <c r="A193" s="701"/>
      <c r="B193" s="704" t="s">
        <v>88</v>
      </c>
      <c r="C193" s="657"/>
      <c r="D193" s="658">
        <f>SUM(D188:D192)</f>
        <v>0</v>
      </c>
      <c r="E193" s="658">
        <f t="shared" ref="E193:N193" si="97">SUM(E188:E192)</f>
        <v>0</v>
      </c>
      <c r="F193" s="658">
        <f t="shared" si="97"/>
        <v>0</v>
      </c>
      <c r="G193" s="658">
        <f t="shared" si="97"/>
        <v>0</v>
      </c>
      <c r="H193" s="658">
        <f t="shared" si="97"/>
        <v>0</v>
      </c>
      <c r="I193" s="658">
        <f t="shared" si="97"/>
        <v>0</v>
      </c>
      <c r="J193" s="658">
        <f t="shared" si="97"/>
        <v>0</v>
      </c>
      <c r="K193" s="658">
        <f t="shared" si="97"/>
        <v>0</v>
      </c>
      <c r="L193" s="658">
        <f t="shared" si="97"/>
        <v>0</v>
      </c>
      <c r="M193" s="658">
        <f t="shared" si="97"/>
        <v>0</v>
      </c>
      <c r="N193" s="658">
        <f t="shared" si="97"/>
        <v>0</v>
      </c>
      <c r="O193" s="734" t="str">
        <f t="shared" si="92"/>
        <v/>
      </c>
    </row>
    <row r="194" spans="1:15">
      <c r="A194" s="701"/>
      <c r="B194" s="429"/>
      <c r="C194" s="428"/>
      <c r="D194" s="423"/>
      <c r="E194" s="423"/>
      <c r="F194" s="423"/>
      <c r="G194" s="423"/>
      <c r="H194" s="423"/>
      <c r="I194" s="423"/>
      <c r="J194" s="423"/>
      <c r="K194" s="423"/>
      <c r="L194" s="423"/>
      <c r="M194" s="423"/>
      <c r="N194" s="423"/>
      <c r="O194" s="733"/>
    </row>
    <row r="195" spans="1:15" ht="10.5">
      <c r="A195" s="701"/>
      <c r="B195" s="737" t="s">
        <v>253</v>
      </c>
      <c r="C195" s="738"/>
      <c r="D195" s="739">
        <f>D184+D185+D193</f>
        <v>0</v>
      </c>
      <c r="E195" s="739">
        <f t="shared" ref="E195:N195" si="98">E184+E185+E193</f>
        <v>0</v>
      </c>
      <c r="F195" s="739">
        <f t="shared" si="98"/>
        <v>0</v>
      </c>
      <c r="G195" s="739">
        <f t="shared" si="98"/>
        <v>0</v>
      </c>
      <c r="H195" s="739">
        <f t="shared" si="98"/>
        <v>0</v>
      </c>
      <c r="I195" s="739">
        <f t="shared" si="98"/>
        <v>0</v>
      </c>
      <c r="J195" s="739">
        <f t="shared" si="98"/>
        <v>0</v>
      </c>
      <c r="K195" s="739">
        <f t="shared" si="98"/>
        <v>0</v>
      </c>
      <c r="L195" s="739">
        <f t="shared" si="98"/>
        <v>0</v>
      </c>
      <c r="M195" s="739">
        <f t="shared" si="98"/>
        <v>0</v>
      </c>
      <c r="N195" s="739">
        <f t="shared" si="98"/>
        <v>0</v>
      </c>
      <c r="O195" s="740" t="str">
        <f t="shared" si="92"/>
        <v/>
      </c>
    </row>
    <row r="196" spans="1:15">
      <c r="A196" s="701"/>
      <c r="B196" s="421"/>
      <c r="C196" s="428"/>
      <c r="D196" s="423"/>
      <c r="E196" s="423"/>
      <c r="F196" s="423"/>
      <c r="G196" s="423"/>
      <c r="H196" s="423"/>
      <c r="I196" s="423"/>
      <c r="J196" s="423"/>
      <c r="K196" s="423"/>
      <c r="L196" s="423"/>
      <c r="M196" s="423"/>
      <c r="N196" s="423"/>
      <c r="O196" s="733"/>
    </row>
    <row r="197" spans="1:15">
      <c r="A197" s="701"/>
      <c r="B197" s="429" t="s">
        <v>128</v>
      </c>
      <c r="C197" s="428"/>
      <c r="D197" s="423">
        <f t="shared" ref="D197:N197" si="99">D171</f>
        <v>0</v>
      </c>
      <c r="E197" s="423">
        <f t="shared" si="99"/>
        <v>0</v>
      </c>
      <c r="F197" s="423">
        <f t="shared" si="99"/>
        <v>0</v>
      </c>
      <c r="G197" s="423">
        <f t="shared" si="99"/>
        <v>0</v>
      </c>
      <c r="H197" s="423">
        <f t="shared" si="99"/>
        <v>0</v>
      </c>
      <c r="I197" s="423">
        <f t="shared" si="99"/>
        <v>0</v>
      </c>
      <c r="J197" s="423">
        <f t="shared" si="99"/>
        <v>0</v>
      </c>
      <c r="K197" s="423">
        <f t="shared" si="99"/>
        <v>0</v>
      </c>
      <c r="L197" s="423">
        <f t="shared" si="99"/>
        <v>0</v>
      </c>
      <c r="M197" s="423">
        <f t="shared" si="99"/>
        <v>0</v>
      </c>
      <c r="N197" s="423">
        <f t="shared" si="99"/>
        <v>0</v>
      </c>
      <c r="O197" s="733" t="str">
        <f t="shared" si="92"/>
        <v/>
      </c>
    </row>
    <row r="198" spans="1:15">
      <c r="A198" s="701"/>
      <c r="B198" s="429" t="s">
        <v>480</v>
      </c>
      <c r="C198" s="428"/>
      <c r="D198" s="423">
        <f>D172</f>
        <v>0</v>
      </c>
      <c r="E198" s="423">
        <f t="shared" ref="E198:N198" si="100">E172</f>
        <v>0</v>
      </c>
      <c r="F198" s="423">
        <f t="shared" si="100"/>
        <v>0</v>
      </c>
      <c r="G198" s="423">
        <f t="shared" si="100"/>
        <v>0</v>
      </c>
      <c r="H198" s="423">
        <f t="shared" si="100"/>
        <v>0</v>
      </c>
      <c r="I198" s="423">
        <f t="shared" si="100"/>
        <v>0</v>
      </c>
      <c r="J198" s="423">
        <f t="shared" si="100"/>
        <v>0</v>
      </c>
      <c r="K198" s="423">
        <f t="shared" si="100"/>
        <v>0</v>
      </c>
      <c r="L198" s="423">
        <f t="shared" si="100"/>
        <v>0</v>
      </c>
      <c r="M198" s="423">
        <f t="shared" si="100"/>
        <v>0</v>
      </c>
      <c r="N198" s="423">
        <f t="shared" si="100"/>
        <v>0</v>
      </c>
      <c r="O198" s="733" t="str">
        <f t="shared" si="92"/>
        <v/>
      </c>
    </row>
    <row r="199" spans="1:15" ht="10.5">
      <c r="A199" s="701"/>
      <c r="B199" s="737" t="s">
        <v>481</v>
      </c>
      <c r="C199" s="738"/>
      <c r="D199" s="739">
        <f>SUM(D197:D198)</f>
        <v>0</v>
      </c>
      <c r="E199" s="739">
        <f t="shared" ref="E199:N199" si="101">SUM(E197:E198)</f>
        <v>0</v>
      </c>
      <c r="F199" s="739">
        <f t="shared" si="101"/>
        <v>0</v>
      </c>
      <c r="G199" s="739">
        <f t="shared" si="101"/>
        <v>0</v>
      </c>
      <c r="H199" s="739">
        <f t="shared" si="101"/>
        <v>0</v>
      </c>
      <c r="I199" s="739">
        <f t="shared" si="101"/>
        <v>0</v>
      </c>
      <c r="J199" s="739">
        <f t="shared" si="101"/>
        <v>0</v>
      </c>
      <c r="K199" s="739">
        <f t="shared" si="101"/>
        <v>0</v>
      </c>
      <c r="L199" s="739">
        <f t="shared" si="101"/>
        <v>0</v>
      </c>
      <c r="M199" s="739">
        <f t="shared" si="101"/>
        <v>0</v>
      </c>
      <c r="N199" s="739">
        <f t="shared" si="101"/>
        <v>0</v>
      </c>
      <c r="O199" s="740" t="str">
        <f t="shared" si="92"/>
        <v/>
      </c>
    </row>
    <row r="200" spans="1:15">
      <c r="A200" s="701"/>
      <c r="B200" s="429"/>
      <c r="C200" s="428"/>
      <c r="D200" s="423"/>
      <c r="E200" s="423"/>
      <c r="F200" s="423"/>
      <c r="G200" s="423"/>
      <c r="H200" s="423"/>
      <c r="I200" s="423"/>
      <c r="J200" s="423"/>
      <c r="K200" s="423"/>
      <c r="L200" s="423"/>
      <c r="M200" s="423"/>
      <c r="N200" s="423"/>
      <c r="O200" s="733"/>
    </row>
    <row r="201" spans="1:15">
      <c r="A201" s="701"/>
      <c r="B201" s="429" t="s">
        <v>388</v>
      </c>
      <c r="C201" s="428"/>
      <c r="D201" s="423">
        <f>D177</f>
        <v>0</v>
      </c>
      <c r="E201" s="423">
        <f t="shared" ref="E201:N201" si="102">E177</f>
        <v>0</v>
      </c>
      <c r="F201" s="423">
        <f t="shared" si="102"/>
        <v>0</v>
      </c>
      <c r="G201" s="423">
        <f t="shared" si="102"/>
        <v>0</v>
      </c>
      <c r="H201" s="423">
        <f t="shared" si="102"/>
        <v>0</v>
      </c>
      <c r="I201" s="423">
        <f t="shared" si="102"/>
        <v>0</v>
      </c>
      <c r="J201" s="423">
        <f t="shared" si="102"/>
        <v>0</v>
      </c>
      <c r="K201" s="423">
        <f t="shared" si="102"/>
        <v>0</v>
      </c>
      <c r="L201" s="423">
        <f t="shared" si="102"/>
        <v>0</v>
      </c>
      <c r="M201" s="423">
        <f t="shared" si="102"/>
        <v>0</v>
      </c>
      <c r="N201" s="423">
        <f t="shared" si="102"/>
        <v>0</v>
      </c>
      <c r="O201" s="733" t="str">
        <f t="shared" si="92"/>
        <v/>
      </c>
    </row>
    <row r="202" spans="1:15">
      <c r="A202" s="701"/>
      <c r="B202" s="429" t="s">
        <v>483</v>
      </c>
      <c r="C202" s="428"/>
      <c r="D202" s="423">
        <f>D178</f>
        <v>0</v>
      </c>
      <c r="E202" s="423">
        <f t="shared" ref="E202:N202" si="103">E178</f>
        <v>0</v>
      </c>
      <c r="F202" s="423">
        <f t="shared" si="103"/>
        <v>0</v>
      </c>
      <c r="G202" s="423">
        <f t="shared" si="103"/>
        <v>0</v>
      </c>
      <c r="H202" s="423">
        <f t="shared" si="103"/>
        <v>0</v>
      </c>
      <c r="I202" s="423">
        <f t="shared" si="103"/>
        <v>0</v>
      </c>
      <c r="J202" s="423">
        <f t="shared" si="103"/>
        <v>0</v>
      </c>
      <c r="K202" s="423">
        <f t="shared" si="103"/>
        <v>0</v>
      </c>
      <c r="L202" s="423">
        <f t="shared" si="103"/>
        <v>0</v>
      </c>
      <c r="M202" s="423">
        <f t="shared" si="103"/>
        <v>0</v>
      </c>
      <c r="N202" s="423">
        <f t="shared" si="103"/>
        <v>0</v>
      </c>
      <c r="O202" s="733" t="str">
        <f t="shared" si="92"/>
        <v/>
      </c>
    </row>
    <row r="203" spans="1:15" ht="10.5">
      <c r="A203" s="701"/>
      <c r="B203" s="737" t="s">
        <v>477</v>
      </c>
      <c r="C203" s="738"/>
      <c r="D203" s="739">
        <f>SUM(D201:D202)</f>
        <v>0</v>
      </c>
      <c r="E203" s="739">
        <f t="shared" ref="E203:N203" si="104">SUM(E201:E202)</f>
        <v>0</v>
      </c>
      <c r="F203" s="739">
        <f t="shared" si="104"/>
        <v>0</v>
      </c>
      <c r="G203" s="739">
        <f t="shared" si="104"/>
        <v>0</v>
      </c>
      <c r="H203" s="739">
        <f t="shared" si="104"/>
        <v>0</v>
      </c>
      <c r="I203" s="739">
        <f t="shared" si="104"/>
        <v>0</v>
      </c>
      <c r="J203" s="739">
        <f t="shared" si="104"/>
        <v>0</v>
      </c>
      <c r="K203" s="739">
        <f t="shared" si="104"/>
        <v>0</v>
      </c>
      <c r="L203" s="739">
        <f t="shared" si="104"/>
        <v>0</v>
      </c>
      <c r="M203" s="739">
        <f t="shared" si="104"/>
        <v>0</v>
      </c>
      <c r="N203" s="739">
        <f t="shared" si="104"/>
        <v>0</v>
      </c>
      <c r="O203" s="740" t="str">
        <f t="shared" si="92"/>
        <v/>
      </c>
    </row>
    <row r="204" spans="1:15">
      <c r="A204" s="701"/>
      <c r="B204" s="429"/>
      <c r="C204" s="428"/>
      <c r="D204" s="423"/>
      <c r="E204" s="423"/>
      <c r="F204" s="423"/>
      <c r="G204" s="423"/>
      <c r="H204" s="423"/>
      <c r="I204" s="423"/>
      <c r="J204" s="423"/>
      <c r="K204" s="423"/>
      <c r="L204" s="423"/>
      <c r="M204" s="423"/>
      <c r="N204" s="423"/>
      <c r="O204" s="733"/>
    </row>
    <row r="205" spans="1:15" ht="11" thickBot="1">
      <c r="A205" s="701"/>
      <c r="B205" s="656" t="s">
        <v>482</v>
      </c>
      <c r="C205" s="659"/>
      <c r="D205" s="660">
        <f>D195+D199+D203</f>
        <v>0</v>
      </c>
      <c r="E205" s="660">
        <f t="shared" ref="E205:N205" si="105">E195+E199+E203</f>
        <v>0</v>
      </c>
      <c r="F205" s="660">
        <f t="shared" si="105"/>
        <v>0</v>
      </c>
      <c r="G205" s="660">
        <f t="shared" si="105"/>
        <v>0</v>
      </c>
      <c r="H205" s="660">
        <f t="shared" si="105"/>
        <v>0</v>
      </c>
      <c r="I205" s="660">
        <f t="shared" si="105"/>
        <v>0</v>
      </c>
      <c r="J205" s="660">
        <f t="shared" si="105"/>
        <v>0</v>
      </c>
      <c r="K205" s="660">
        <f t="shared" si="105"/>
        <v>0</v>
      </c>
      <c r="L205" s="660">
        <f t="shared" si="105"/>
        <v>0</v>
      </c>
      <c r="M205" s="660">
        <f t="shared" si="105"/>
        <v>0</v>
      </c>
      <c r="N205" s="660">
        <f t="shared" si="105"/>
        <v>0</v>
      </c>
      <c r="O205" s="735" t="str">
        <f t="shared" si="92"/>
        <v/>
      </c>
    </row>
    <row r="206" spans="1:15">
      <c r="A206" s="701"/>
      <c r="B206" s="791" t="s">
        <v>77</v>
      </c>
      <c r="C206" s="798"/>
      <c r="D206" s="798"/>
      <c r="E206" s="798"/>
      <c r="F206" s="798"/>
      <c r="G206" s="798"/>
      <c r="H206" s="798"/>
      <c r="I206" s="798"/>
      <c r="J206" s="798"/>
      <c r="K206" s="798"/>
      <c r="L206" s="798"/>
      <c r="M206" s="798"/>
      <c r="N206" s="798"/>
      <c r="O206" s="798"/>
    </row>
    <row r="207" spans="1:15">
      <c r="A207" s="701"/>
    </row>
    <row r="208" spans="1:15" ht="10.5">
      <c r="A208" s="701"/>
      <c r="B208" s="653" t="s">
        <v>501</v>
      </c>
      <c r="C208" s="653"/>
      <c r="D208" s="653"/>
      <c r="E208" s="653"/>
      <c r="F208" s="653"/>
      <c r="G208" s="653"/>
      <c r="H208" s="653"/>
      <c r="I208" s="653"/>
      <c r="J208" s="653"/>
      <c r="K208" s="653"/>
      <c r="L208" s="653"/>
      <c r="M208" s="653"/>
      <c r="N208" s="653"/>
      <c r="O208" s="653"/>
    </row>
    <row r="209" spans="1:16" ht="10.5">
      <c r="A209" s="701"/>
      <c r="B209" s="418"/>
      <c r="C209" s="419"/>
      <c r="D209" s="419" t="str">
        <f t="shared" ref="D209:N209" si="106">D15</f>
        <v>FYTE</v>
      </c>
      <c r="E209" s="419" t="str">
        <f t="shared" si="106"/>
        <v>FYTE</v>
      </c>
      <c r="F209" s="419" t="str">
        <f t="shared" si="106"/>
        <v>FYTE</v>
      </c>
      <c r="G209" s="419" t="str">
        <f t="shared" si="106"/>
        <v>FYTE</v>
      </c>
      <c r="H209" s="419" t="str">
        <f t="shared" si="106"/>
        <v>FYTE</v>
      </c>
      <c r="I209" s="419" t="str">
        <f t="shared" si="106"/>
        <v>FYTE</v>
      </c>
      <c r="J209" s="419" t="str">
        <f t="shared" si="106"/>
        <v>FY21</v>
      </c>
      <c r="K209" s="419" t="str">
        <f t="shared" si="106"/>
        <v>FY22</v>
      </c>
      <c r="L209" s="419" t="str">
        <f t="shared" si="106"/>
        <v>FY23</v>
      </c>
      <c r="M209" s="419" t="str">
        <f t="shared" si="106"/>
        <v>FY24</v>
      </c>
      <c r="N209" s="419" t="str">
        <f t="shared" si="106"/>
        <v>FY25</v>
      </c>
      <c r="O209" s="420" t="s">
        <v>541</v>
      </c>
    </row>
    <row r="210" spans="1:16" ht="10.5">
      <c r="A210" s="701"/>
      <c r="B210" s="696" t="s">
        <v>91</v>
      </c>
      <c r="C210" s="13"/>
      <c r="D210" s="13"/>
      <c r="E210" s="13"/>
      <c r="F210" s="13"/>
      <c r="G210" s="13"/>
      <c r="H210" s="13"/>
      <c r="I210" s="13"/>
      <c r="J210" s="13"/>
      <c r="K210" s="13"/>
      <c r="L210" s="13"/>
      <c r="M210" s="13"/>
      <c r="N210" s="13"/>
      <c r="O210" s="705"/>
    </row>
    <row r="211" spans="1:16">
      <c r="A211" s="701"/>
      <c r="B211" s="432" t="s">
        <v>485</v>
      </c>
      <c r="C211" s="13"/>
      <c r="D211" s="709" t="str">
        <f t="shared" ref="D211:N211" si="107">IFERROR(D16/D184,"")</f>
        <v/>
      </c>
      <c r="E211" s="709" t="str">
        <f t="shared" si="107"/>
        <v/>
      </c>
      <c r="F211" s="709" t="str">
        <f t="shared" si="107"/>
        <v/>
      </c>
      <c r="G211" s="709" t="str">
        <f t="shared" si="107"/>
        <v/>
      </c>
      <c r="H211" s="709" t="str">
        <f t="shared" si="107"/>
        <v/>
      </c>
      <c r="I211" s="709" t="str">
        <f t="shared" si="107"/>
        <v/>
      </c>
      <c r="J211" s="709" t="str">
        <f t="shared" si="107"/>
        <v/>
      </c>
      <c r="K211" s="709" t="str">
        <f t="shared" si="107"/>
        <v/>
      </c>
      <c r="L211" s="709" t="str">
        <f t="shared" si="107"/>
        <v/>
      </c>
      <c r="M211" s="709" t="str">
        <f t="shared" si="107"/>
        <v/>
      </c>
      <c r="N211" s="709" t="str">
        <f t="shared" si="107"/>
        <v/>
      </c>
      <c r="O211" s="446" t="str">
        <f>IFERROR(AVERAGE(L211:N211),"")</f>
        <v/>
      </c>
    </row>
    <row r="212" spans="1:16" ht="10.5">
      <c r="A212" s="701"/>
      <c r="B212" s="430"/>
      <c r="C212" s="13"/>
      <c r="D212" s="13"/>
      <c r="E212" s="13"/>
      <c r="F212" s="13"/>
      <c r="G212" s="13"/>
      <c r="H212" s="13"/>
      <c r="I212" s="13"/>
      <c r="J212" s="13"/>
      <c r="K212" s="13"/>
      <c r="L212" s="13"/>
      <c r="M212" s="13"/>
      <c r="N212" s="13"/>
      <c r="O212" s="705"/>
    </row>
    <row r="213" spans="1:16" ht="10.5" hidden="1" outlineLevel="1">
      <c r="A213" s="701"/>
      <c r="B213" s="696" t="s">
        <v>89</v>
      </c>
      <c r="C213" s="445"/>
      <c r="D213" s="448"/>
      <c r="E213" s="448"/>
      <c r="F213" s="448"/>
      <c r="G213" s="448"/>
      <c r="H213" s="448"/>
      <c r="I213" s="448"/>
      <c r="J213" s="448"/>
      <c r="K213" s="448"/>
      <c r="L213" s="448"/>
      <c r="M213" s="448"/>
      <c r="N213" s="448"/>
      <c r="O213" s="446"/>
    </row>
    <row r="214" spans="1:16" hidden="1" outlineLevel="1">
      <c r="A214" s="701"/>
      <c r="B214" s="432" t="s">
        <v>565</v>
      </c>
      <c r="C214" s="433"/>
      <c r="D214" s="434" t="str">
        <f t="shared" ref="D214:N214" si="108">IFERROR(D197/D205,"")</f>
        <v/>
      </c>
      <c r="E214" s="434" t="str">
        <f t="shared" si="108"/>
        <v/>
      </c>
      <c r="F214" s="434" t="str">
        <f t="shared" si="108"/>
        <v/>
      </c>
      <c r="G214" s="434" t="str">
        <f t="shared" si="108"/>
        <v/>
      </c>
      <c r="H214" s="434" t="str">
        <f t="shared" si="108"/>
        <v/>
      </c>
      <c r="I214" s="434" t="str">
        <f t="shared" si="108"/>
        <v/>
      </c>
      <c r="J214" s="434" t="str">
        <f t="shared" si="108"/>
        <v/>
      </c>
      <c r="K214" s="434" t="str">
        <f t="shared" si="108"/>
        <v/>
      </c>
      <c r="L214" s="434" t="str">
        <f t="shared" si="108"/>
        <v/>
      </c>
      <c r="M214" s="434" t="str">
        <f t="shared" si="108"/>
        <v/>
      </c>
      <c r="N214" s="434" t="str">
        <f t="shared" si="108"/>
        <v/>
      </c>
      <c r="O214" s="435" t="str">
        <f>IFERROR(AVERAGE(L214:N214),"")</f>
        <v/>
      </c>
    </row>
    <row r="215" spans="1:16" hidden="1" outlineLevel="1">
      <c r="A215" s="701"/>
      <c r="B215" s="432" t="s">
        <v>90</v>
      </c>
      <c r="C215" s="445"/>
      <c r="D215" s="449" t="str">
        <f t="shared" ref="D215:N215" si="109">IFERROR(-D34/D37,"")</f>
        <v/>
      </c>
      <c r="E215" s="449" t="str">
        <f t="shared" si="109"/>
        <v/>
      </c>
      <c r="F215" s="449" t="str">
        <f t="shared" si="109"/>
        <v/>
      </c>
      <c r="G215" s="449" t="str">
        <f t="shared" si="109"/>
        <v/>
      </c>
      <c r="H215" s="449" t="str">
        <f t="shared" si="109"/>
        <v/>
      </c>
      <c r="I215" s="449" t="str">
        <f t="shared" si="109"/>
        <v/>
      </c>
      <c r="J215" s="449" t="str">
        <f t="shared" si="109"/>
        <v/>
      </c>
      <c r="K215" s="449" t="str">
        <f t="shared" si="109"/>
        <v/>
      </c>
      <c r="L215" s="449" t="str">
        <f t="shared" si="109"/>
        <v/>
      </c>
      <c r="M215" s="449" t="str">
        <f t="shared" si="109"/>
        <v/>
      </c>
      <c r="N215" s="449" t="str">
        <f t="shared" si="109"/>
        <v/>
      </c>
      <c r="O215" s="446" t="str">
        <f>IFERROR(AVERAGE(L215:N215),"")</f>
        <v/>
      </c>
    </row>
    <row r="216" spans="1:16" hidden="1" outlineLevel="1">
      <c r="A216" s="701"/>
      <c r="B216" s="432" t="s">
        <v>566</v>
      </c>
      <c r="C216" s="445"/>
      <c r="D216" s="710" t="str">
        <f t="shared" ref="D216:N216" si="110">IFERROR(D37/D171,"")</f>
        <v/>
      </c>
      <c r="E216" s="710" t="str">
        <f t="shared" si="110"/>
        <v/>
      </c>
      <c r="F216" s="710" t="str">
        <f t="shared" si="110"/>
        <v/>
      </c>
      <c r="G216" s="710" t="str">
        <f t="shared" si="110"/>
        <v/>
      </c>
      <c r="H216" s="710" t="str">
        <f t="shared" si="110"/>
        <v/>
      </c>
      <c r="I216" s="710" t="str">
        <f t="shared" si="110"/>
        <v/>
      </c>
      <c r="J216" s="710" t="str">
        <f t="shared" si="110"/>
        <v/>
      </c>
      <c r="K216" s="710" t="str">
        <f t="shared" si="110"/>
        <v/>
      </c>
      <c r="L216" s="710" t="str">
        <f t="shared" si="110"/>
        <v/>
      </c>
      <c r="M216" s="710" t="str">
        <f t="shared" si="110"/>
        <v/>
      </c>
      <c r="N216" s="710" t="str">
        <f t="shared" si="110"/>
        <v/>
      </c>
      <c r="O216" s="435" t="str">
        <f>IFERROR(AVERAGE(L216:N216),"")</f>
        <v/>
      </c>
    </row>
    <row r="217" spans="1:16" hidden="1" outlineLevel="1">
      <c r="A217" s="701"/>
      <c r="B217" s="432"/>
      <c r="C217" s="13"/>
      <c r="D217" s="450"/>
      <c r="E217" s="450"/>
      <c r="F217" s="450"/>
      <c r="G217" s="450"/>
      <c r="H217" s="450"/>
      <c r="I217" s="450"/>
      <c r="J217" s="450"/>
      <c r="K217" s="450"/>
      <c r="L217" s="450"/>
      <c r="M217" s="450"/>
      <c r="N217" s="450"/>
      <c r="O217" s="451"/>
    </row>
    <row r="218" spans="1:16" ht="10.5" collapsed="1">
      <c r="A218" s="701"/>
      <c r="B218" s="696" t="s">
        <v>471</v>
      </c>
      <c r="C218" s="13"/>
      <c r="D218" s="450"/>
      <c r="E218" s="450"/>
      <c r="F218" s="450"/>
      <c r="G218" s="450"/>
      <c r="H218" s="450"/>
      <c r="I218" s="450"/>
      <c r="J218" s="450"/>
      <c r="K218" s="450"/>
      <c r="L218" s="450"/>
      <c r="M218" s="450"/>
      <c r="N218" s="450"/>
      <c r="O218" s="431"/>
    </row>
    <row r="219" spans="1:16">
      <c r="A219" s="701"/>
      <c r="B219" s="432" t="s">
        <v>92</v>
      </c>
      <c r="C219" s="452"/>
      <c r="D219" s="569" t="str">
        <f t="shared" ref="D219:M219" si="111">IFERROR(D188/D16*365,"")</f>
        <v/>
      </c>
      <c r="E219" s="569" t="str">
        <f t="shared" si="111"/>
        <v/>
      </c>
      <c r="F219" s="569" t="str">
        <f t="shared" si="111"/>
        <v/>
      </c>
      <c r="G219" s="569" t="str">
        <f t="shared" si="111"/>
        <v/>
      </c>
      <c r="H219" s="569" t="str">
        <f t="shared" si="111"/>
        <v/>
      </c>
      <c r="I219" s="569" t="str">
        <f t="shared" si="111"/>
        <v/>
      </c>
      <c r="J219" s="569" t="str">
        <f t="shared" si="111"/>
        <v/>
      </c>
      <c r="K219" s="569" t="str">
        <f t="shared" si="111"/>
        <v/>
      </c>
      <c r="L219" s="569" t="str">
        <f t="shared" si="111"/>
        <v/>
      </c>
      <c r="M219" s="569" t="str">
        <f t="shared" si="111"/>
        <v/>
      </c>
      <c r="N219" s="569" t="str">
        <f>IFERROR(N188/(N16/N11*12)*365,"")</f>
        <v/>
      </c>
      <c r="O219" s="711" t="str">
        <f>IFERROR(AVERAGE(L219:N219),"")</f>
        <v/>
      </c>
      <c r="P219" s="30"/>
    </row>
    <row r="220" spans="1:16">
      <c r="A220" s="701"/>
      <c r="B220" s="432" t="s">
        <v>93</v>
      </c>
      <c r="C220" s="452"/>
      <c r="D220" s="569" t="str">
        <f t="shared" ref="D220:M220" si="112">IFERROR(D190/D22*365,"")</f>
        <v/>
      </c>
      <c r="E220" s="569" t="str">
        <f t="shared" si="112"/>
        <v/>
      </c>
      <c r="F220" s="569" t="str">
        <f t="shared" si="112"/>
        <v/>
      </c>
      <c r="G220" s="569" t="str">
        <f t="shared" si="112"/>
        <v/>
      </c>
      <c r="H220" s="569" t="str">
        <f t="shared" si="112"/>
        <v/>
      </c>
      <c r="I220" s="569" t="str">
        <f t="shared" si="112"/>
        <v/>
      </c>
      <c r="J220" s="569" t="str">
        <f t="shared" si="112"/>
        <v/>
      </c>
      <c r="K220" s="569" t="str">
        <f t="shared" si="112"/>
        <v/>
      </c>
      <c r="L220" s="569" t="str">
        <f t="shared" si="112"/>
        <v/>
      </c>
      <c r="M220" s="569" t="str">
        <f t="shared" si="112"/>
        <v/>
      </c>
      <c r="N220" s="569" t="str">
        <f>IFERROR(N190/(N22/N11*12)*365,"")</f>
        <v/>
      </c>
      <c r="O220" s="711" t="str">
        <f>IFERROR(AVERAGE(L220:N220),"")</f>
        <v/>
      </c>
    </row>
    <row r="221" spans="1:16">
      <c r="A221" s="701"/>
      <c r="B221" s="432" t="s">
        <v>484</v>
      </c>
      <c r="C221" s="452"/>
      <c r="D221" s="715" t="str">
        <f t="shared" ref="D221:M221" si="113">IFERROR(-D189/D22*365,"")</f>
        <v/>
      </c>
      <c r="E221" s="715" t="str">
        <f t="shared" si="113"/>
        <v/>
      </c>
      <c r="F221" s="715" t="str">
        <f t="shared" si="113"/>
        <v/>
      </c>
      <c r="G221" s="715" t="str">
        <f t="shared" si="113"/>
        <v/>
      </c>
      <c r="H221" s="715" t="str">
        <f t="shared" si="113"/>
        <v/>
      </c>
      <c r="I221" s="715" t="str">
        <f t="shared" si="113"/>
        <v/>
      </c>
      <c r="J221" s="715" t="str">
        <f t="shared" si="113"/>
        <v/>
      </c>
      <c r="K221" s="715" t="str">
        <f t="shared" si="113"/>
        <v/>
      </c>
      <c r="L221" s="715" t="str">
        <f t="shared" si="113"/>
        <v/>
      </c>
      <c r="M221" s="715" t="str">
        <f t="shared" si="113"/>
        <v/>
      </c>
      <c r="N221" s="715" t="str">
        <f>IFERROR(-N189/(N22/N11*12)*365,"")</f>
        <v/>
      </c>
      <c r="O221" s="711" t="str">
        <f>IFERROR(AVERAGE(L221:N221),"")</f>
        <v/>
      </c>
    </row>
    <row r="222" spans="1:16" ht="10.5">
      <c r="A222" s="701"/>
      <c r="B222" s="716" t="s">
        <v>95</v>
      </c>
      <c r="C222" s="717"/>
      <c r="D222" s="718" t="str">
        <f>IFERROR(D221+D219-D220,"")</f>
        <v/>
      </c>
      <c r="E222" s="718" t="str">
        <f t="shared" ref="E222:N222" si="114">IFERROR(E221+E219-E220,"")</f>
        <v/>
      </c>
      <c r="F222" s="718" t="str">
        <f t="shared" si="114"/>
        <v/>
      </c>
      <c r="G222" s="718" t="str">
        <f t="shared" si="114"/>
        <v/>
      </c>
      <c r="H222" s="718" t="str">
        <f t="shared" si="114"/>
        <v/>
      </c>
      <c r="I222" s="718" t="str">
        <f t="shared" si="114"/>
        <v/>
      </c>
      <c r="J222" s="718" t="str">
        <f t="shared" si="114"/>
        <v/>
      </c>
      <c r="K222" s="718" t="str">
        <f t="shared" si="114"/>
        <v/>
      </c>
      <c r="L222" s="718" t="str">
        <f t="shared" si="114"/>
        <v/>
      </c>
      <c r="M222" s="718" t="str">
        <f t="shared" si="114"/>
        <v/>
      </c>
      <c r="N222" s="718" t="str">
        <f t="shared" si="114"/>
        <v/>
      </c>
      <c r="O222" s="826" t="str">
        <f>IFERROR(AVERAGE(L222:N222),"")</f>
        <v/>
      </c>
    </row>
    <row r="223" spans="1:16">
      <c r="A223" s="701"/>
      <c r="O223" s="83"/>
    </row>
    <row r="224" spans="1:16" ht="10.5">
      <c r="A224" s="701"/>
      <c r="B224" s="696" t="s">
        <v>486</v>
      </c>
      <c r="O224" s="83"/>
    </row>
    <row r="225" spans="1:16">
      <c r="A225" s="701"/>
      <c r="B225" s="799" t="str">
        <f>B191</f>
        <v>Other current assets</v>
      </c>
      <c r="D225" s="644" t="str">
        <f t="shared" ref="D225:N225" si="115">IFERROR(D191/D16,"")</f>
        <v/>
      </c>
      <c r="E225" s="644" t="str">
        <f t="shared" si="115"/>
        <v/>
      </c>
      <c r="F225" s="644" t="str">
        <f t="shared" si="115"/>
        <v/>
      </c>
      <c r="G225" s="644" t="str">
        <f t="shared" si="115"/>
        <v/>
      </c>
      <c r="H225" s="644" t="str">
        <f t="shared" si="115"/>
        <v/>
      </c>
      <c r="I225" s="644" t="str">
        <f t="shared" si="115"/>
        <v/>
      </c>
      <c r="J225" s="644" t="str">
        <f t="shared" si="115"/>
        <v/>
      </c>
      <c r="K225" s="644" t="str">
        <f t="shared" si="115"/>
        <v/>
      </c>
      <c r="L225" s="644" t="str">
        <f t="shared" si="115"/>
        <v/>
      </c>
      <c r="M225" s="644" t="str">
        <f t="shared" si="115"/>
        <v/>
      </c>
      <c r="N225" s="644" t="str">
        <f t="shared" si="115"/>
        <v/>
      </c>
      <c r="O225" s="435" t="str">
        <f>IFERROR(AVERAGE(L225:N225),"")</f>
        <v/>
      </c>
    </row>
    <row r="226" spans="1:16">
      <c r="A226" s="701"/>
      <c r="B226" s="799" t="str">
        <f>B192</f>
        <v>Other current liabilities</v>
      </c>
      <c r="D226" s="644" t="str">
        <f t="shared" ref="D226:N226" si="116">IFERROR(D192/D16,"")</f>
        <v/>
      </c>
      <c r="E226" s="644" t="str">
        <f t="shared" si="116"/>
        <v/>
      </c>
      <c r="F226" s="644" t="str">
        <f t="shared" si="116"/>
        <v/>
      </c>
      <c r="G226" s="644" t="str">
        <f t="shared" si="116"/>
        <v/>
      </c>
      <c r="H226" s="644" t="str">
        <f t="shared" si="116"/>
        <v/>
      </c>
      <c r="I226" s="644" t="str">
        <f t="shared" si="116"/>
        <v/>
      </c>
      <c r="J226" s="644" t="str">
        <f t="shared" si="116"/>
        <v/>
      </c>
      <c r="K226" s="644" t="str">
        <f t="shared" si="116"/>
        <v/>
      </c>
      <c r="L226" s="644" t="str">
        <f t="shared" si="116"/>
        <v/>
      </c>
      <c r="M226" s="644" t="str">
        <f t="shared" si="116"/>
        <v/>
      </c>
      <c r="N226" s="644" t="str">
        <f t="shared" si="116"/>
        <v/>
      </c>
      <c r="O226" s="435" t="str">
        <f>IFERROR(AVERAGE(L226:N226),"")</f>
        <v/>
      </c>
    </row>
    <row r="227" spans="1:16">
      <c r="A227" s="701"/>
      <c r="B227" s="799"/>
      <c r="D227" s="644"/>
      <c r="E227" s="644"/>
      <c r="F227" s="644"/>
      <c r="G227" s="644"/>
      <c r="H227" s="644"/>
      <c r="I227" s="644"/>
      <c r="J227" s="644"/>
      <c r="K227" s="644"/>
      <c r="L227" s="644"/>
      <c r="M227" s="644"/>
      <c r="N227" s="644"/>
      <c r="O227" s="435"/>
    </row>
    <row r="228" spans="1:16" ht="10.5">
      <c r="A228" s="701"/>
      <c r="B228" s="696" t="s">
        <v>493</v>
      </c>
      <c r="D228" s="644"/>
      <c r="E228" s="644"/>
      <c r="F228" s="644"/>
      <c r="G228" s="644"/>
      <c r="H228" s="644"/>
      <c r="I228" s="644"/>
      <c r="J228" s="644"/>
      <c r="K228" s="644"/>
      <c r="L228" s="644"/>
      <c r="M228" s="644"/>
      <c r="N228" s="644"/>
      <c r="O228" s="435"/>
    </row>
    <row r="229" spans="1:16">
      <c r="A229" s="701"/>
      <c r="B229" s="799" t="s">
        <v>494</v>
      </c>
      <c r="D229" s="644" t="str">
        <f t="shared" ref="D229:N229" si="117">IFERROR((D34*(1-tax))/D103,"")</f>
        <v/>
      </c>
      <c r="E229" s="644" t="str">
        <f t="shared" si="117"/>
        <v/>
      </c>
      <c r="F229" s="644" t="str">
        <f t="shared" si="117"/>
        <v/>
      </c>
      <c r="G229" s="644" t="str">
        <f t="shared" si="117"/>
        <v/>
      </c>
      <c r="H229" s="644" t="str">
        <f t="shared" si="117"/>
        <v/>
      </c>
      <c r="I229" s="644" t="str">
        <f t="shared" si="117"/>
        <v/>
      </c>
      <c r="J229" s="644" t="str">
        <f t="shared" si="117"/>
        <v/>
      </c>
      <c r="K229" s="644" t="str">
        <f t="shared" si="117"/>
        <v/>
      </c>
      <c r="L229" s="644" t="str">
        <f t="shared" si="117"/>
        <v/>
      </c>
      <c r="M229" s="644" t="str">
        <f t="shared" si="117"/>
        <v/>
      </c>
      <c r="N229" s="644" t="str">
        <f t="shared" si="117"/>
        <v/>
      </c>
      <c r="O229" s="435" t="str">
        <f>IFERROR(AVERAGE(L229:N229),"")</f>
        <v/>
      </c>
      <c r="P229" s="30" t="s">
        <v>497</v>
      </c>
    </row>
    <row r="230" spans="1:16">
      <c r="A230" s="701"/>
      <c r="B230" s="799" t="s">
        <v>495</v>
      </c>
      <c r="D230" s="644" t="str">
        <f t="shared" ref="D230:N230" si="118">IFERROR((D34*(1-tax))/D195,"")</f>
        <v/>
      </c>
      <c r="E230" s="644" t="str">
        <f t="shared" si="118"/>
        <v/>
      </c>
      <c r="F230" s="644" t="str">
        <f t="shared" si="118"/>
        <v/>
      </c>
      <c r="G230" s="644" t="str">
        <f t="shared" si="118"/>
        <v/>
      </c>
      <c r="H230" s="644" t="str">
        <f t="shared" si="118"/>
        <v/>
      </c>
      <c r="I230" s="644" t="str">
        <f t="shared" si="118"/>
        <v/>
      </c>
      <c r="J230" s="644" t="str">
        <f t="shared" si="118"/>
        <v/>
      </c>
      <c r="K230" s="644" t="str">
        <f t="shared" si="118"/>
        <v/>
      </c>
      <c r="L230" s="644" t="str">
        <f t="shared" si="118"/>
        <v/>
      </c>
      <c r="M230" s="644" t="str">
        <f t="shared" si="118"/>
        <v/>
      </c>
      <c r="N230" s="644" t="str">
        <f t="shared" si="118"/>
        <v/>
      </c>
      <c r="O230" s="435" t="str">
        <f>IFERROR(AVERAGE(L230:N230),"")</f>
        <v/>
      </c>
      <c r="P230" s="30" t="s">
        <v>498</v>
      </c>
    </row>
    <row r="231" spans="1:16">
      <c r="A231" s="701"/>
      <c r="B231" s="799" t="s">
        <v>496</v>
      </c>
      <c r="D231" s="644" t="str">
        <f t="shared" ref="D231:N231" si="119">IFERROR(D43/D205,"")</f>
        <v/>
      </c>
      <c r="E231" s="644" t="str">
        <f t="shared" si="119"/>
        <v/>
      </c>
      <c r="F231" s="644" t="str">
        <f t="shared" si="119"/>
        <v/>
      </c>
      <c r="G231" s="644" t="str">
        <f t="shared" si="119"/>
        <v/>
      </c>
      <c r="H231" s="644" t="str">
        <f t="shared" si="119"/>
        <v/>
      </c>
      <c r="I231" s="644" t="str">
        <f t="shared" si="119"/>
        <v/>
      </c>
      <c r="J231" s="644" t="str">
        <f t="shared" si="119"/>
        <v/>
      </c>
      <c r="K231" s="644" t="str">
        <f t="shared" si="119"/>
        <v/>
      </c>
      <c r="L231" s="644" t="str">
        <f t="shared" si="119"/>
        <v/>
      </c>
      <c r="M231" s="644" t="str">
        <f t="shared" si="119"/>
        <v/>
      </c>
      <c r="N231" s="644" t="str">
        <f t="shared" si="119"/>
        <v/>
      </c>
      <c r="O231" s="435" t="str">
        <f>IFERROR(AVERAGE(L231:N231),"")</f>
        <v/>
      </c>
      <c r="P231" s="30" t="s">
        <v>499</v>
      </c>
    </row>
    <row r="232" spans="1:16" ht="4.1500000000000004" customHeight="1" thickBot="1">
      <c r="A232" s="701"/>
      <c r="B232" s="453"/>
      <c r="C232" s="454"/>
      <c r="D232" s="454"/>
      <c r="E232" s="454"/>
      <c r="F232" s="454"/>
      <c r="G232" s="454"/>
      <c r="H232" s="454"/>
      <c r="I232" s="454"/>
      <c r="J232" s="454"/>
      <c r="K232" s="454"/>
      <c r="L232" s="454"/>
      <c r="M232" s="454"/>
      <c r="N232" s="454"/>
      <c r="O232" s="721"/>
    </row>
    <row r="233" spans="1:16">
      <c r="A233" s="701"/>
      <c r="B233" s="791" t="s">
        <v>389</v>
      </c>
      <c r="C233" s="798"/>
      <c r="D233" s="798"/>
      <c r="E233" s="798"/>
      <c r="F233" s="798"/>
      <c r="G233" s="798"/>
      <c r="H233" s="798"/>
      <c r="I233" s="798"/>
      <c r="J233" s="798"/>
      <c r="K233" s="798"/>
      <c r="L233" s="798"/>
      <c r="M233" s="798"/>
      <c r="N233" s="798"/>
      <c r="O233" s="798"/>
    </row>
    <row r="234" spans="1:16">
      <c r="A234" s="701"/>
    </row>
    <row r="235" spans="1:16">
      <c r="A235" s="701"/>
    </row>
    <row r="258" spans="1:1">
      <c r="A258" s="701"/>
    </row>
    <row r="259" spans="1:1">
      <c r="A259" s="701"/>
    </row>
    <row r="260" spans="1:1">
      <c r="A260" s="701"/>
    </row>
    <row r="261" spans="1:1">
      <c r="A261" s="701"/>
    </row>
    <row r="262" spans="1:1">
      <c r="A262" s="701"/>
    </row>
    <row r="263" spans="1:1">
      <c r="A263" s="701"/>
    </row>
    <row r="264" spans="1:1">
      <c r="A264" s="701"/>
    </row>
    <row r="265" spans="1:1">
      <c r="A265" s="701"/>
    </row>
    <row r="266" spans="1:1">
      <c r="A266" s="701"/>
    </row>
    <row r="267" spans="1:1">
      <c r="A267" s="701"/>
    </row>
    <row r="268" spans="1:1">
      <c r="A268" s="701"/>
    </row>
    <row r="269" spans="1:1">
      <c r="A269" s="701"/>
    </row>
    <row r="270" spans="1:1">
      <c r="A270" s="701"/>
    </row>
    <row r="271" spans="1:1">
      <c r="A271" s="701"/>
    </row>
    <row r="272" spans="1:1">
      <c r="A272" s="701"/>
    </row>
    <row r="273" spans="1:1">
      <c r="A273" s="701"/>
    </row>
    <row r="274" spans="1:1">
      <c r="A274" s="701"/>
    </row>
    <row r="275" spans="1:1">
      <c r="A275" s="701"/>
    </row>
    <row r="276" spans="1:1">
      <c r="A276" s="701"/>
    </row>
    <row r="277" spans="1:1">
      <c r="A277" s="701"/>
    </row>
    <row r="278" spans="1:1">
      <c r="A278" s="701"/>
    </row>
    <row r="279" spans="1:1">
      <c r="A279" s="701"/>
    </row>
    <row r="280" spans="1:1">
      <c r="A280" s="701"/>
    </row>
    <row r="281" spans="1:1">
      <c r="A281" s="701"/>
    </row>
    <row r="282" spans="1:1">
      <c r="A282" s="701"/>
    </row>
    <row r="283" spans="1:1">
      <c r="A283" s="701"/>
    </row>
    <row r="284" spans="1:1">
      <c r="A284" s="701"/>
    </row>
    <row r="285" spans="1:1">
      <c r="A285" s="701"/>
    </row>
    <row r="286" spans="1:1">
      <c r="A286" s="701"/>
    </row>
    <row r="287" spans="1:1">
      <c r="A287" s="701"/>
    </row>
    <row r="288" spans="1:1">
      <c r="A288" s="701"/>
    </row>
    <row r="289" spans="1:1">
      <c r="A289" s="701"/>
    </row>
    <row r="290" spans="1:1">
      <c r="A290" s="701"/>
    </row>
    <row r="291" spans="1:1">
      <c r="A291" s="701"/>
    </row>
    <row r="292" spans="1:1">
      <c r="A292" s="701"/>
    </row>
    <row r="293" spans="1:1">
      <c r="A293" s="701"/>
    </row>
    <row r="294" spans="1:1">
      <c r="A294" s="701"/>
    </row>
    <row r="295" spans="1:1">
      <c r="A295" s="701"/>
    </row>
    <row r="296" spans="1:1">
      <c r="A296" s="701"/>
    </row>
    <row r="297" spans="1:1">
      <c r="A297" s="701"/>
    </row>
    <row r="298" spans="1:1">
      <c r="A298" s="701"/>
    </row>
    <row r="299" spans="1:1">
      <c r="A299" s="701"/>
    </row>
    <row r="300" spans="1:1">
      <c r="A300" s="701"/>
    </row>
    <row r="301" spans="1:1">
      <c r="A301" s="701"/>
    </row>
    <row r="302" spans="1:1">
      <c r="A302" s="701"/>
    </row>
    <row r="303" spans="1:1">
      <c r="A303" s="701"/>
    </row>
    <row r="304" spans="1:1">
      <c r="A304" s="701"/>
    </row>
    <row r="305" spans="1:1">
      <c r="A305" s="701"/>
    </row>
    <row r="306" spans="1:1">
      <c r="A306" s="701"/>
    </row>
    <row r="307" spans="1:1">
      <c r="A307" s="701"/>
    </row>
    <row r="308" spans="1:1">
      <c r="A308" s="701"/>
    </row>
    <row r="309" spans="1:1">
      <c r="A309" s="701"/>
    </row>
    <row r="310" spans="1:1">
      <c r="A310" s="701"/>
    </row>
    <row r="311" spans="1:1">
      <c r="A311" s="701"/>
    </row>
    <row r="312" spans="1:1">
      <c r="A312" s="701"/>
    </row>
    <row r="313" spans="1:1">
      <c r="A313" s="701"/>
    </row>
    <row r="314" spans="1:1">
      <c r="A314" s="701"/>
    </row>
    <row r="315" spans="1:1">
      <c r="A315" s="701"/>
    </row>
    <row r="316" spans="1:1">
      <c r="A316" s="701"/>
    </row>
    <row r="317" spans="1:1">
      <c r="A317" s="701"/>
    </row>
    <row r="318" spans="1:1">
      <c r="A318" s="701"/>
    </row>
    <row r="319" spans="1:1">
      <c r="A319" s="701"/>
    </row>
    <row r="320" spans="1:1">
      <c r="A320" s="701"/>
    </row>
    <row r="321" spans="1:1">
      <c r="A321" s="701"/>
    </row>
    <row r="322" spans="1:1">
      <c r="A322" s="701"/>
    </row>
    <row r="323" spans="1:1">
      <c r="A323" s="701"/>
    </row>
    <row r="324" spans="1:1">
      <c r="A324" s="701"/>
    </row>
    <row r="325" spans="1:1">
      <c r="A325" s="701"/>
    </row>
    <row r="326" spans="1:1">
      <c r="A326" s="701"/>
    </row>
    <row r="327" spans="1:1">
      <c r="A327" s="701"/>
    </row>
    <row r="328" spans="1:1">
      <c r="A328" s="701"/>
    </row>
    <row r="329" spans="1:1">
      <c r="A329" s="701"/>
    </row>
    <row r="330" spans="1:1">
      <c r="A330" s="701"/>
    </row>
    <row r="331" spans="1:1">
      <c r="A331" s="701"/>
    </row>
    <row r="332" spans="1:1">
      <c r="A332" s="701"/>
    </row>
    <row r="333" spans="1:1">
      <c r="A333" s="701"/>
    </row>
    <row r="334" spans="1:1">
      <c r="A334" s="701"/>
    </row>
    <row r="335" spans="1:1">
      <c r="A335" s="701"/>
    </row>
    <row r="336" spans="1:1">
      <c r="A336" s="701"/>
    </row>
    <row r="337" spans="1:1">
      <c r="A337" s="701"/>
    </row>
    <row r="338" spans="1:1">
      <c r="A338" s="701"/>
    </row>
    <row r="339" spans="1:1">
      <c r="A339" s="701"/>
    </row>
    <row r="340" spans="1:1">
      <c r="A340" s="701"/>
    </row>
    <row r="341" spans="1:1">
      <c r="A341" s="701"/>
    </row>
    <row r="342" spans="1:1">
      <c r="A342" s="701"/>
    </row>
    <row r="343" spans="1:1">
      <c r="A343" s="701"/>
    </row>
    <row r="344" spans="1:1">
      <c r="A344" s="701"/>
    </row>
    <row r="345" spans="1:1">
      <c r="A345" s="701"/>
    </row>
    <row r="346" spans="1:1">
      <c r="A346" s="701"/>
    </row>
    <row r="347" spans="1:1">
      <c r="A347" s="701"/>
    </row>
    <row r="348" spans="1:1" outlineLevel="1">
      <c r="A348" s="703" t="s">
        <v>468</v>
      </c>
    </row>
    <row r="349" spans="1:1" outlineLevel="1">
      <c r="A349" s="703" t="s">
        <v>469</v>
      </c>
    </row>
    <row r="350" spans="1:1" outlineLevel="1">
      <c r="A350" s="703" t="s">
        <v>456</v>
      </c>
    </row>
    <row r="351" spans="1:1" outlineLevel="1">
      <c r="A351" s="703" t="s">
        <v>457</v>
      </c>
    </row>
    <row r="352" spans="1:1" outlineLevel="1">
      <c r="A352" s="703" t="s">
        <v>472</v>
      </c>
    </row>
    <row r="353" spans="1:1" outlineLevel="1">
      <c r="A353" s="703" t="s">
        <v>128</v>
      </c>
    </row>
    <row r="354" spans="1:1" outlineLevel="1">
      <c r="A354" s="703" t="s">
        <v>458</v>
      </c>
    </row>
    <row r="355" spans="1:1" outlineLevel="1">
      <c r="A355" s="703" t="s">
        <v>476</v>
      </c>
    </row>
    <row r="356" spans="1:1" outlineLevel="1">
      <c r="A356" s="703" t="s">
        <v>460</v>
      </c>
    </row>
    <row r="357" spans="1:1" outlineLevel="1">
      <c r="A357" s="703" t="s">
        <v>459</v>
      </c>
    </row>
    <row r="358" spans="1:1">
      <c r="A358" s="701"/>
    </row>
    <row r="359" spans="1:1">
      <c r="A359" s="701"/>
    </row>
    <row r="360" spans="1:1">
      <c r="A360" s="701"/>
    </row>
  </sheetData>
  <conditionalFormatting sqref="C145:C146 C147:N148">
    <cfRule type="cellIs" dxfId="165" priority="13" operator="equal">
      <formula>"FYTE"</formula>
    </cfRule>
  </conditionalFormatting>
  <conditionalFormatting sqref="C15:N15 C152:C155 C157:O157">
    <cfRule type="cellIs" dxfId="164" priority="45" operator="equal">
      <formula>"FYTE"</formula>
    </cfRule>
  </conditionalFormatting>
  <conditionalFormatting sqref="C49:N50">
    <cfRule type="cellIs" dxfId="163" priority="11" operator="equal">
      <formula>"FYTE"</formula>
    </cfRule>
  </conditionalFormatting>
  <conditionalFormatting sqref="C150:N151">
    <cfRule type="cellIs" dxfId="162" priority="5" operator="equal">
      <formula>"FYTE"</formula>
    </cfRule>
  </conditionalFormatting>
  <conditionalFormatting sqref="C156:N156">
    <cfRule type="cellIs" dxfId="161" priority="3" operator="equal">
      <formula>"FYTE"</formula>
    </cfRule>
  </conditionalFormatting>
  <conditionalFormatting sqref="C71:O71">
    <cfRule type="cellIs" dxfId="160" priority="22" operator="equal">
      <formula>"FYTE"</formula>
    </cfRule>
  </conditionalFormatting>
  <conditionalFormatting sqref="C140:O144 O146:O148 O150:O153">
    <cfRule type="cellIs" dxfId="159" priority="12" operator="equal">
      <formula>"FYTE"</formula>
    </cfRule>
  </conditionalFormatting>
  <conditionalFormatting sqref="C159:O159">
    <cfRule type="cellIs" dxfId="158" priority="20" operator="equal">
      <formula>"FYTE"</formula>
    </cfRule>
  </conditionalFormatting>
  <conditionalFormatting sqref="C170:O170">
    <cfRule type="cellIs" dxfId="157" priority="18" operator="equal">
      <formula>"FYTE"</formula>
    </cfRule>
  </conditionalFormatting>
  <conditionalFormatting sqref="C176:O176">
    <cfRule type="cellIs" dxfId="156" priority="16" operator="equal">
      <formula>"FYTE"</formula>
    </cfRule>
  </conditionalFormatting>
  <conditionalFormatting sqref="C182:O182">
    <cfRule type="cellIs" dxfId="155" priority="27" operator="equal">
      <formula>"FYTE"</formula>
    </cfRule>
  </conditionalFormatting>
  <conditionalFormatting sqref="C209:O209">
    <cfRule type="cellIs" dxfId="154" priority="7" operator="equal">
      <formula>"FYTE"</formula>
    </cfRule>
  </conditionalFormatting>
  <conditionalFormatting sqref="D46:N46">
    <cfRule type="cellIs" dxfId="153" priority="40" operator="notEqual">
      <formula>0</formula>
    </cfRule>
    <cfRule type="cellIs" dxfId="152" priority="43" operator="equal">
      <formula>0</formula>
    </cfRule>
  </conditionalFormatting>
  <conditionalFormatting sqref="D136:N136">
    <cfRule type="cellIs" dxfId="151" priority="25" operator="notEqual">
      <formula>0</formula>
    </cfRule>
    <cfRule type="cellIs" dxfId="150" priority="26" operator="equal">
      <formula>0</formula>
    </cfRule>
  </conditionalFormatting>
  <conditionalFormatting sqref="D152:N153">
    <cfRule type="cellIs" dxfId="149" priority="4" operator="equal">
      <formula>"FYTE"</formula>
    </cfRule>
  </conditionalFormatting>
  <conditionalFormatting sqref="N12">
    <cfRule type="cellIs" dxfId="148" priority="41" operator="equal">
      <formula>"N"</formula>
    </cfRule>
    <cfRule type="cellIs" dxfId="147" priority="42" operator="equal">
      <formula>"Y"</formula>
    </cfRule>
  </conditionalFormatting>
  <conditionalFormatting sqref="O16:O33">
    <cfRule type="iconSet" priority="28">
      <iconSet>
        <cfvo type="percent" val="0"/>
        <cfvo type="num" val="$O$11"/>
        <cfvo type="num" val="$O$11*1.1"/>
      </iconSet>
    </cfRule>
  </conditionalFormatting>
  <conditionalFormatting sqref="O155:O156">
    <cfRule type="cellIs" dxfId="146" priority="2" operator="equal">
      <formula>"FYTE"</formula>
    </cfRule>
  </conditionalFormatting>
  <conditionalFormatting sqref="O163">
    <cfRule type="cellIs" dxfId="145" priority="1" operator="equal">
      <formula>"FYTE"</formula>
    </cfRule>
  </conditionalFormatting>
  <dataValidations disablePrompts="1" count="2">
    <dataValidation allowBlank="1" showInputMessage="1" showErrorMessage="1" prompt="To discuss in details with client how the Company generates cashflows and what are the balance sheet items involved: prepayment, deposit, retention sum etc." sqref="B210" xr:uid="{00000000-0002-0000-0300-000000000000}"/>
    <dataValidation type="list" allowBlank="1" showInputMessage="1" showErrorMessage="1" sqref="A73:A86 A106:A117 A89:A100 A120:A129" xr:uid="{9828B0E9-923A-4051-9092-C1CF3375E803}">
      <formula1>$A$348:$A$357</formula1>
    </dataValidation>
  </dataValidation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5" tint="0.59999389629810485"/>
  </sheetPr>
  <dimension ref="A1:V133"/>
  <sheetViews>
    <sheetView showGridLines="0" zoomScaleNormal="100" workbookViewId="0">
      <selection activeCell="D58" sqref="D58"/>
    </sheetView>
  </sheetViews>
  <sheetFormatPr defaultColWidth="0" defaultRowHeight="10" outlineLevelRow="1"/>
  <cols>
    <col min="1" max="1" width="9.109375" customWidth="1"/>
    <col min="2" max="2" width="39.109375" customWidth="1"/>
    <col min="3" max="3" width="15.77734375" bestFit="1" customWidth="1"/>
    <col min="4" max="14" width="11.6640625" customWidth="1"/>
    <col min="15" max="22" width="9.109375" customWidth="1"/>
    <col min="23" max="16384" width="9.109375" hidden="1"/>
  </cols>
  <sheetData>
    <row r="1" spans="2:14" ht="27.5">
      <c r="B1" s="18" t="s">
        <v>84</v>
      </c>
    </row>
    <row r="11" spans="2:14">
      <c r="B11" t="s">
        <v>38</v>
      </c>
      <c r="C11" s="35">
        <f>units</f>
        <v>1000</v>
      </c>
    </row>
    <row r="12" spans="2:14">
      <c r="B12" t="s">
        <v>216</v>
      </c>
      <c r="D12" s="22">
        <f>C0!O17</f>
        <v>12</v>
      </c>
    </row>
    <row r="13" spans="2:14">
      <c r="B13" t="s">
        <v>214</v>
      </c>
      <c r="D13" s="85" t="str">
        <f>IF($D$12=12,"Y","N")</f>
        <v>Y</v>
      </c>
    </row>
    <row r="15" spans="2:14" ht="10.5">
      <c r="B15" s="653" t="str">
        <f>Subject&amp;" P&amp;L Forecast"</f>
        <v>Netflix P&amp;L Forecast</v>
      </c>
      <c r="C15" s="653"/>
      <c r="D15" s="653"/>
      <c r="E15" s="653"/>
      <c r="F15" s="653"/>
      <c r="G15" s="653"/>
      <c r="H15" s="653"/>
      <c r="I15" s="653"/>
      <c r="J15" s="653"/>
      <c r="K15" s="653"/>
      <c r="L15" s="653"/>
      <c r="M15" s="653"/>
      <c r="N15" s="653"/>
    </row>
    <row r="16" spans="2:14" ht="10.5">
      <c r="B16" s="418" t="str">
        <f>Historicals!B15</f>
        <v>(USD k)</v>
      </c>
      <c r="C16" s="419"/>
      <c r="D16" s="419" t="str">
        <f>"FY"&amp;RIGHT(C0!O20,2)&amp;"F"</f>
        <v>FY26F</v>
      </c>
      <c r="E16" s="419" t="str">
        <f>C0!P21</f>
        <v>FY27F</v>
      </c>
      <c r="F16" s="419" t="str">
        <f>C0!Q21</f>
        <v>FY28F</v>
      </c>
      <c r="G16" s="419" t="str">
        <f>C0!R21</f>
        <v>FY29F</v>
      </c>
      <c r="H16" s="419" t="str">
        <f>C0!S21</f>
        <v>FY30F</v>
      </c>
      <c r="I16" s="419" t="str">
        <f>C0!T21</f>
        <v>FYTEF</v>
      </c>
      <c r="J16" s="419" t="str">
        <f>C0!U21</f>
        <v>FYTEF</v>
      </c>
      <c r="K16" s="419" t="str">
        <f>C0!V21</f>
        <v>FYTEF</v>
      </c>
      <c r="L16" s="419" t="str">
        <f>C0!W21</f>
        <v>FYTEF</v>
      </c>
      <c r="M16" s="419" t="str">
        <f>C0!X21</f>
        <v>FYTEF</v>
      </c>
      <c r="N16" s="419" t="str">
        <f>C0!Y21</f>
        <v>FYTEF</v>
      </c>
    </row>
    <row r="17" spans="1:18">
      <c r="B17" s="421" t="str">
        <f>Historicals!B16</f>
        <v>Revenue</v>
      </c>
      <c r="C17" s="428"/>
      <c r="D17" s="422">
        <f>SUM(D18:D21)</f>
        <v>0</v>
      </c>
      <c r="E17" s="422">
        <f t="shared" ref="E17:N17" si="0">SUM(E18:E21)</f>
        <v>0</v>
      </c>
      <c r="F17" s="422">
        <f t="shared" si="0"/>
        <v>0</v>
      </c>
      <c r="G17" s="422">
        <f t="shared" si="0"/>
        <v>0</v>
      </c>
      <c r="H17" s="422">
        <f t="shared" si="0"/>
        <v>0</v>
      </c>
      <c r="I17" s="422">
        <f t="shared" si="0"/>
        <v>0</v>
      </c>
      <c r="J17" s="422">
        <f t="shared" si="0"/>
        <v>0</v>
      </c>
      <c r="K17" s="422">
        <f t="shared" si="0"/>
        <v>0</v>
      </c>
      <c r="L17" s="422">
        <f t="shared" si="0"/>
        <v>0</v>
      </c>
      <c r="M17" s="422">
        <f t="shared" si="0"/>
        <v>0</v>
      </c>
      <c r="N17" s="422">
        <f t="shared" si="0"/>
        <v>0</v>
      </c>
    </row>
    <row r="18" spans="1:18">
      <c r="B18" s="425" t="str">
        <f>Historicals!B17</f>
        <v>[Revenue stream 1]</v>
      </c>
      <c r="C18" s="455"/>
      <c r="D18" s="843"/>
      <c r="E18" s="843"/>
      <c r="F18" s="843"/>
      <c r="G18" s="843"/>
      <c r="H18" s="843"/>
      <c r="I18" s="843"/>
      <c r="J18" s="843"/>
      <c r="K18" s="843"/>
      <c r="L18" s="843"/>
      <c r="M18" s="843"/>
      <c r="N18" s="843"/>
      <c r="Q18" s="30"/>
    </row>
    <row r="19" spans="1:18">
      <c r="B19" s="425" t="str">
        <f>Historicals!B18</f>
        <v>[Revenue stream 2]</v>
      </c>
      <c r="C19" s="455"/>
      <c r="D19" s="843"/>
      <c r="E19" s="843"/>
      <c r="F19" s="843"/>
      <c r="G19" s="843"/>
      <c r="H19" s="843"/>
      <c r="I19" s="843"/>
      <c r="J19" s="843"/>
      <c r="K19" s="843"/>
      <c r="L19" s="843"/>
      <c r="M19" s="843"/>
      <c r="N19" s="843"/>
    </row>
    <row r="20" spans="1:18">
      <c r="B20" s="425" t="str">
        <f>Historicals!B19</f>
        <v>[Revenue stream 3]</v>
      </c>
      <c r="C20" s="455"/>
      <c r="D20" s="843"/>
      <c r="E20" s="843"/>
      <c r="F20" s="843"/>
      <c r="G20" s="843"/>
      <c r="H20" s="843"/>
      <c r="I20" s="843"/>
      <c r="J20" s="843"/>
      <c r="K20" s="843"/>
      <c r="L20" s="843"/>
      <c r="M20" s="843"/>
      <c r="N20" s="843"/>
    </row>
    <row r="21" spans="1:18">
      <c r="B21" s="425" t="str">
        <f>Historicals!B20</f>
        <v>[Revenue stream 4]</v>
      </c>
      <c r="C21" s="455"/>
      <c r="D21" s="843"/>
      <c r="E21" s="843"/>
      <c r="F21" s="843"/>
      <c r="G21" s="843"/>
      <c r="H21" s="843"/>
      <c r="I21" s="843"/>
      <c r="J21" s="843"/>
      <c r="K21" s="843"/>
      <c r="L21" s="843"/>
      <c r="M21" s="843"/>
      <c r="N21" s="843"/>
    </row>
    <row r="22" spans="1:18">
      <c r="B22" s="421"/>
      <c r="C22" s="428"/>
      <c r="D22" s="423"/>
      <c r="E22" s="423"/>
      <c r="F22" s="423"/>
      <c r="G22" s="423"/>
      <c r="H22" s="423"/>
      <c r="I22" s="423"/>
      <c r="J22" s="423"/>
      <c r="K22" s="423"/>
      <c r="L22" s="423"/>
      <c r="M22" s="423"/>
      <c r="N22" s="423"/>
    </row>
    <row r="23" spans="1:18">
      <c r="B23" s="421" t="str">
        <f>Historicals!B22</f>
        <v>COGS</v>
      </c>
      <c r="C23" s="428"/>
      <c r="D23" s="840"/>
      <c r="E23" s="840"/>
      <c r="F23" s="840"/>
      <c r="G23" s="840"/>
      <c r="H23" s="840"/>
      <c r="I23" s="840"/>
      <c r="J23" s="840"/>
      <c r="K23" s="840"/>
      <c r="L23" s="840"/>
      <c r="M23" s="840"/>
      <c r="N23" s="840"/>
    </row>
    <row r="24" spans="1:18" ht="10.5">
      <c r="B24" s="654" t="str">
        <f>Historicals!B23</f>
        <v>Gross Profit</v>
      </c>
      <c r="C24" s="657"/>
      <c r="D24" s="658">
        <f>SUM(D18:D23)</f>
        <v>0</v>
      </c>
      <c r="E24" s="658">
        <f t="shared" ref="E24:N24" si="1">SUM(E18:E23)</f>
        <v>0</v>
      </c>
      <c r="F24" s="658">
        <f t="shared" si="1"/>
        <v>0</v>
      </c>
      <c r="G24" s="658">
        <f t="shared" si="1"/>
        <v>0</v>
      </c>
      <c r="H24" s="658">
        <f t="shared" si="1"/>
        <v>0</v>
      </c>
      <c r="I24" s="658">
        <f t="shared" si="1"/>
        <v>0</v>
      </c>
      <c r="J24" s="658">
        <f t="shared" si="1"/>
        <v>0</v>
      </c>
      <c r="K24" s="658">
        <f t="shared" si="1"/>
        <v>0</v>
      </c>
      <c r="L24" s="658">
        <f t="shared" si="1"/>
        <v>0</v>
      </c>
      <c r="M24" s="658">
        <f t="shared" si="1"/>
        <v>0</v>
      </c>
      <c r="N24" s="658">
        <f t="shared" si="1"/>
        <v>0</v>
      </c>
      <c r="Q24" s="31"/>
    </row>
    <row r="25" spans="1:18">
      <c r="B25" s="13"/>
      <c r="C25" s="13"/>
      <c r="D25" s="427"/>
      <c r="E25" s="427"/>
      <c r="F25" s="427"/>
      <c r="G25" s="427"/>
      <c r="H25" s="427"/>
      <c r="I25" s="427"/>
      <c r="J25" s="427"/>
      <c r="K25" s="427"/>
      <c r="L25" s="427"/>
      <c r="M25" s="427"/>
      <c r="N25" s="427"/>
      <c r="Q25" s="31"/>
    </row>
    <row r="26" spans="1:18">
      <c r="A26" t="s">
        <v>307</v>
      </c>
      <c r="B26" s="421" t="str">
        <f>Historicals!B25</f>
        <v xml:space="preserve">[Selling &amp; marketing] </v>
      </c>
      <c r="C26" s="421" t="str">
        <f>Historicals!C25</f>
        <v>[variable only]</v>
      </c>
      <c r="D26" s="840"/>
      <c r="E26" s="840"/>
      <c r="F26" s="840"/>
      <c r="G26" s="840"/>
      <c r="H26" s="840"/>
      <c r="I26" s="840"/>
      <c r="J26" s="840"/>
      <c r="K26" s="840"/>
      <c r="L26" s="840"/>
      <c r="M26" s="840"/>
      <c r="N26" s="840"/>
      <c r="P26" s="31"/>
      <c r="Q26" s="31"/>
      <c r="R26" s="31"/>
    </row>
    <row r="27" spans="1:18">
      <c r="A27" t="s">
        <v>308</v>
      </c>
      <c r="B27" s="421" t="str">
        <f>Historicals!B26</f>
        <v>[Salary &amp; wages]</v>
      </c>
      <c r="C27" s="421" t="str">
        <f>Historicals!C26</f>
        <v>[fixed only]</v>
      </c>
      <c r="D27" s="840"/>
      <c r="E27" s="840"/>
      <c r="F27" s="840"/>
      <c r="G27" s="840"/>
      <c r="H27" s="840"/>
      <c r="I27" s="840"/>
      <c r="J27" s="840"/>
      <c r="K27" s="840"/>
      <c r="L27" s="840"/>
      <c r="M27" s="840"/>
      <c r="N27" s="840"/>
      <c r="P27" s="31"/>
      <c r="Q27" s="31"/>
      <c r="R27" s="31"/>
    </row>
    <row r="28" spans="1:18">
      <c r="A28" t="s">
        <v>308</v>
      </c>
      <c r="B28" s="421" t="str">
        <f>Historicals!B27</f>
        <v>[General &amp; Admin expenses]</v>
      </c>
      <c r="C28" s="421" t="str">
        <f>Historicals!C27</f>
        <v>[fixed only]</v>
      </c>
      <c r="D28" s="840"/>
      <c r="E28" s="840"/>
      <c r="F28" s="840"/>
      <c r="G28" s="840"/>
      <c r="H28" s="840"/>
      <c r="I28" s="840"/>
      <c r="J28" s="840"/>
      <c r="K28" s="840"/>
      <c r="L28" s="840"/>
      <c r="M28" s="840"/>
      <c r="N28" s="840"/>
      <c r="P28" s="31"/>
      <c r="Q28" s="31"/>
      <c r="R28" s="31"/>
    </row>
    <row r="29" spans="1:18">
      <c r="A29" t="s">
        <v>308</v>
      </c>
      <c r="B29" s="421" t="str">
        <f>Historicals!B28</f>
        <v>[Other operating expenses 1]</v>
      </c>
      <c r="C29" s="421" t="str">
        <f>Historicals!C28</f>
        <v>[fixed only]</v>
      </c>
      <c r="D29" s="840"/>
      <c r="E29" s="840"/>
      <c r="F29" s="840"/>
      <c r="G29" s="840"/>
      <c r="H29" s="840"/>
      <c r="I29" s="840"/>
      <c r="J29" s="840"/>
      <c r="K29" s="840"/>
      <c r="L29" s="840"/>
      <c r="M29" s="840"/>
      <c r="N29" s="840"/>
      <c r="P29" s="31"/>
      <c r="Q29" s="31"/>
      <c r="R29" s="31"/>
    </row>
    <row r="30" spans="1:18">
      <c r="A30" t="s">
        <v>308</v>
      </c>
      <c r="B30" s="421" t="str">
        <f>Historicals!B29</f>
        <v>[Other operating expenses 2]</v>
      </c>
      <c r="C30" s="421" t="str">
        <f>Historicals!C29</f>
        <v>[fixed only]</v>
      </c>
      <c r="D30" s="840"/>
      <c r="E30" s="840"/>
      <c r="F30" s="840"/>
      <c r="G30" s="840"/>
      <c r="H30" s="840"/>
      <c r="I30" s="840"/>
      <c r="J30" s="840"/>
      <c r="K30" s="840"/>
      <c r="L30" s="840"/>
      <c r="M30" s="840"/>
      <c r="N30" s="840"/>
      <c r="O30" s="31"/>
      <c r="P30" s="31"/>
      <c r="Q30" s="31"/>
    </row>
    <row r="31" spans="1:18" ht="10.5">
      <c r="B31" s="654" t="str">
        <f>Historicals!B30</f>
        <v>EBIT</v>
      </c>
      <c r="C31" s="657"/>
      <c r="D31" s="658">
        <f>SUM(D24:D30)</f>
        <v>0</v>
      </c>
      <c r="E31" s="658">
        <f t="shared" ref="E31:N31" si="2">SUM(E24:E30)</f>
        <v>0</v>
      </c>
      <c r="F31" s="658">
        <f t="shared" si="2"/>
        <v>0</v>
      </c>
      <c r="G31" s="658">
        <f t="shared" si="2"/>
        <v>0</v>
      </c>
      <c r="H31" s="658">
        <f t="shared" si="2"/>
        <v>0</v>
      </c>
      <c r="I31" s="658">
        <f t="shared" si="2"/>
        <v>0</v>
      </c>
      <c r="J31" s="658">
        <f t="shared" si="2"/>
        <v>0</v>
      </c>
      <c r="K31" s="658">
        <f t="shared" si="2"/>
        <v>0</v>
      </c>
      <c r="L31" s="658">
        <f t="shared" si="2"/>
        <v>0</v>
      </c>
      <c r="M31" s="658">
        <f t="shared" si="2"/>
        <v>0</v>
      </c>
      <c r="N31" s="658">
        <f t="shared" si="2"/>
        <v>0</v>
      </c>
    </row>
    <row r="32" spans="1:18">
      <c r="B32" s="13"/>
      <c r="C32" s="13"/>
      <c r="D32" s="427"/>
      <c r="E32" s="427"/>
      <c r="F32" s="427"/>
      <c r="G32" s="427"/>
      <c r="H32" s="427"/>
      <c r="I32" s="427"/>
      <c r="J32" s="427"/>
      <c r="K32" s="427"/>
      <c r="L32" s="427"/>
      <c r="M32" s="427"/>
      <c r="N32" s="427"/>
    </row>
    <row r="33" spans="2:16">
      <c r="B33" s="421" t="str">
        <f>Historicals!B32</f>
        <v>Add: Depreciation</v>
      </c>
      <c r="C33" s="428"/>
      <c r="D33" s="854"/>
      <c r="E33" s="854"/>
      <c r="F33" s="840"/>
      <c r="G33" s="840"/>
      <c r="H33" s="840"/>
      <c r="I33" s="840"/>
      <c r="J33" s="840"/>
      <c r="K33" s="840"/>
      <c r="L33" s="840"/>
      <c r="M33" s="840"/>
      <c r="N33" s="840"/>
    </row>
    <row r="34" spans="2:16">
      <c r="B34" s="421" t="str">
        <f>Historicals!B33</f>
        <v>Add: Amortisation</v>
      </c>
      <c r="C34" s="428"/>
      <c r="D34" s="854"/>
      <c r="E34" s="840"/>
      <c r="F34" s="840"/>
      <c r="G34" s="840"/>
      <c r="H34" s="840"/>
      <c r="I34" s="840"/>
      <c r="J34" s="840"/>
      <c r="K34" s="840"/>
      <c r="L34" s="840"/>
      <c r="M34" s="840"/>
      <c r="N34" s="840"/>
    </row>
    <row r="35" spans="2:16" ht="11" thickBot="1">
      <c r="B35" s="661" t="str">
        <f>Historicals!B34</f>
        <v>EBITDA</v>
      </c>
      <c r="C35" s="659"/>
      <c r="D35" s="660">
        <f>SUM(D31:D34)</f>
        <v>0</v>
      </c>
      <c r="E35" s="660">
        <f t="shared" ref="E35:N35" si="3">SUM(E31:E34)</f>
        <v>0</v>
      </c>
      <c r="F35" s="660">
        <f t="shared" si="3"/>
        <v>0</v>
      </c>
      <c r="G35" s="660">
        <f t="shared" si="3"/>
        <v>0</v>
      </c>
      <c r="H35" s="660">
        <f t="shared" si="3"/>
        <v>0</v>
      </c>
      <c r="I35" s="660">
        <f t="shared" si="3"/>
        <v>0</v>
      </c>
      <c r="J35" s="660">
        <f t="shared" si="3"/>
        <v>0</v>
      </c>
      <c r="K35" s="660">
        <f t="shared" si="3"/>
        <v>0</v>
      </c>
      <c r="L35" s="660">
        <f t="shared" si="3"/>
        <v>0</v>
      </c>
      <c r="M35" s="660">
        <f t="shared" si="3"/>
        <v>0</v>
      </c>
      <c r="N35" s="660">
        <f t="shared" si="3"/>
        <v>0</v>
      </c>
    </row>
    <row r="36" spans="2:16">
      <c r="B36" s="791" t="s">
        <v>99</v>
      </c>
      <c r="C36" s="798"/>
      <c r="D36" s="798"/>
      <c r="E36" s="798"/>
      <c r="F36" s="798"/>
      <c r="G36" s="798"/>
      <c r="H36" s="798"/>
      <c r="I36" s="798"/>
      <c r="J36" s="798"/>
      <c r="K36" s="798"/>
      <c r="L36" s="798"/>
      <c r="M36" s="798"/>
      <c r="N36" s="798"/>
    </row>
    <row r="38" spans="2:16" ht="10.5" hidden="1" outlineLevel="1">
      <c r="B38" s="34" t="s">
        <v>98</v>
      </c>
      <c r="C38" s="36"/>
      <c r="D38" s="792">
        <f t="shared" ref="D38:N38" si="4">D35</f>
        <v>0</v>
      </c>
      <c r="E38" s="792">
        <f t="shared" si="4"/>
        <v>0</v>
      </c>
      <c r="F38" s="792">
        <f t="shared" si="4"/>
        <v>0</v>
      </c>
      <c r="G38" s="792">
        <f t="shared" si="4"/>
        <v>0</v>
      </c>
      <c r="H38" s="792">
        <f t="shared" si="4"/>
        <v>0</v>
      </c>
      <c r="I38" s="792">
        <f t="shared" si="4"/>
        <v>0</v>
      </c>
      <c r="J38" s="792">
        <f t="shared" si="4"/>
        <v>0</v>
      </c>
      <c r="K38" s="792">
        <f t="shared" si="4"/>
        <v>0</v>
      </c>
      <c r="L38" s="792">
        <f t="shared" si="4"/>
        <v>0</v>
      </c>
      <c r="M38" s="792">
        <f t="shared" si="4"/>
        <v>0</v>
      </c>
      <c r="N38" s="792">
        <f t="shared" si="4"/>
        <v>0</v>
      </c>
    </row>
    <row r="39" spans="2:16" collapsed="1"/>
    <row r="40" spans="2:16" ht="10.5">
      <c r="B40" s="653" t="s">
        <v>78</v>
      </c>
      <c r="C40" s="653"/>
      <c r="D40" s="653"/>
      <c r="E40" s="653"/>
      <c r="F40" s="653"/>
      <c r="G40" s="653"/>
      <c r="H40" s="653"/>
      <c r="I40" s="653"/>
      <c r="J40" s="653"/>
      <c r="K40" s="653"/>
      <c r="L40" s="653"/>
      <c r="M40" s="653"/>
      <c r="N40" s="653"/>
    </row>
    <row r="41" spans="2:16" ht="10.5">
      <c r="B41" s="418"/>
      <c r="C41" s="419"/>
      <c r="D41" s="419" t="str">
        <f>D$16</f>
        <v>FY26F</v>
      </c>
      <c r="E41" s="419" t="str">
        <f t="shared" ref="E41:N41" si="5">E$16</f>
        <v>FY27F</v>
      </c>
      <c r="F41" s="419" t="str">
        <f t="shared" si="5"/>
        <v>FY28F</v>
      </c>
      <c r="G41" s="419" t="str">
        <f t="shared" si="5"/>
        <v>FY29F</v>
      </c>
      <c r="H41" s="419" t="str">
        <f t="shared" si="5"/>
        <v>FY30F</v>
      </c>
      <c r="I41" s="419" t="str">
        <f t="shared" si="5"/>
        <v>FYTEF</v>
      </c>
      <c r="J41" s="419" t="str">
        <f t="shared" si="5"/>
        <v>FYTEF</v>
      </c>
      <c r="K41" s="419" t="str">
        <f t="shared" si="5"/>
        <v>FYTEF</v>
      </c>
      <c r="L41" s="419" t="str">
        <f t="shared" si="5"/>
        <v>FYTEF</v>
      </c>
      <c r="M41" s="419" t="str">
        <f t="shared" si="5"/>
        <v>FYTEF</v>
      </c>
      <c r="N41" s="419" t="str">
        <f t="shared" si="5"/>
        <v>FYTEF</v>
      </c>
    </row>
    <row r="42" spans="2:16" ht="10.5">
      <c r="B42" s="430" t="s">
        <v>276</v>
      </c>
      <c r="C42" s="707"/>
      <c r="D42" s="707"/>
      <c r="E42" s="707"/>
      <c r="F42" s="707"/>
      <c r="G42" s="707"/>
      <c r="H42" s="707"/>
      <c r="I42" s="707"/>
      <c r="J42" s="707"/>
      <c r="K42" s="707"/>
      <c r="L42" s="707"/>
      <c r="M42" s="707"/>
      <c r="N42" s="707"/>
    </row>
    <row r="43" spans="2:16">
      <c r="B43" s="421" t="str">
        <f>B17</f>
        <v>Revenue</v>
      </c>
      <c r="C43" s="456"/>
      <c r="D43" s="456" t="str">
        <f>IFERROR(IF(D13="Y",D17/Historicals!N16-1,D17/Historicals!M16-1),"")</f>
        <v/>
      </c>
      <c r="E43" s="456" t="str">
        <f>IFERROR(E17/D17-1,"")</f>
        <v/>
      </c>
      <c r="F43" s="456" t="str">
        <f t="shared" ref="F43:N43" si="6">IFERROR(F17/E17-1,"")</f>
        <v/>
      </c>
      <c r="G43" s="456" t="str">
        <f t="shared" si="6"/>
        <v/>
      </c>
      <c r="H43" s="456" t="str">
        <f t="shared" si="6"/>
        <v/>
      </c>
      <c r="I43" s="456" t="str">
        <f t="shared" si="6"/>
        <v/>
      </c>
      <c r="J43" s="456" t="str">
        <f t="shared" si="6"/>
        <v/>
      </c>
      <c r="K43" s="456" t="str">
        <f t="shared" si="6"/>
        <v/>
      </c>
      <c r="L43" s="456" t="str">
        <f t="shared" si="6"/>
        <v/>
      </c>
      <c r="M43" s="456" t="str">
        <f t="shared" si="6"/>
        <v/>
      </c>
      <c r="N43" s="456" t="str">
        <f t="shared" si="6"/>
        <v/>
      </c>
      <c r="P43" s="31"/>
    </row>
    <row r="44" spans="2:16">
      <c r="B44" s="421" t="str">
        <f>B23</f>
        <v>COGS</v>
      </c>
      <c r="C44" s="456"/>
      <c r="D44" s="456" t="str">
        <f>IFERROR(IF(D13="Y",D23/Historicals!N22-1,D23/Historicals!M22-1),"")</f>
        <v/>
      </c>
      <c r="E44" s="456" t="str">
        <f>IFERROR(E23/D23-1,"")</f>
        <v/>
      </c>
      <c r="F44" s="456" t="str">
        <f t="shared" ref="F44:N44" si="7">IFERROR(F23/E23-1,"")</f>
        <v/>
      </c>
      <c r="G44" s="456" t="str">
        <f t="shared" si="7"/>
        <v/>
      </c>
      <c r="H44" s="456" t="str">
        <f t="shared" si="7"/>
        <v/>
      </c>
      <c r="I44" s="456" t="str">
        <f t="shared" si="7"/>
        <v/>
      </c>
      <c r="J44" s="456" t="str">
        <f t="shared" si="7"/>
        <v/>
      </c>
      <c r="K44" s="456" t="str">
        <f t="shared" si="7"/>
        <v/>
      </c>
      <c r="L44" s="456" t="str">
        <f t="shared" si="7"/>
        <v/>
      </c>
      <c r="M44" s="456" t="str">
        <f t="shared" si="7"/>
        <v/>
      </c>
      <c r="N44" s="456" t="str">
        <f t="shared" si="7"/>
        <v/>
      </c>
      <c r="P44" s="31"/>
    </row>
    <row r="45" spans="2:16">
      <c r="B45" s="421" t="str">
        <f>B27</f>
        <v>[Salary &amp; wages]</v>
      </c>
      <c r="C45" s="456"/>
      <c r="D45" s="456" t="str">
        <f>IFERROR(IF(D13="Y",D27/Historicals!N26-1,D27/Historicals!M26-1),"")</f>
        <v/>
      </c>
      <c r="E45" s="456" t="str">
        <f>IFERROR(E27/D27-1,"")</f>
        <v/>
      </c>
      <c r="F45" s="456" t="str">
        <f t="shared" ref="F45:N45" si="8">IFERROR(F27/E27-1,"")</f>
        <v/>
      </c>
      <c r="G45" s="456" t="str">
        <f t="shared" si="8"/>
        <v/>
      </c>
      <c r="H45" s="456" t="str">
        <f t="shared" si="8"/>
        <v/>
      </c>
      <c r="I45" s="456" t="str">
        <f t="shared" si="8"/>
        <v/>
      </c>
      <c r="J45" s="456" t="str">
        <f t="shared" si="8"/>
        <v/>
      </c>
      <c r="K45" s="456" t="str">
        <f t="shared" si="8"/>
        <v/>
      </c>
      <c r="L45" s="456" t="str">
        <f t="shared" si="8"/>
        <v/>
      </c>
      <c r="M45" s="456" t="str">
        <f t="shared" si="8"/>
        <v/>
      </c>
      <c r="N45" s="456" t="str">
        <f t="shared" si="8"/>
        <v/>
      </c>
      <c r="P45" s="31"/>
    </row>
    <row r="46" spans="2:16">
      <c r="B46" s="421" t="str">
        <f>B28</f>
        <v>[General &amp; Admin expenses]</v>
      </c>
      <c r="C46" s="456"/>
      <c r="D46" s="456" t="str">
        <f>IFERROR(IF(D13="Y",D28/Historicals!N27-1,D28/Historicals!M27-1),"")</f>
        <v/>
      </c>
      <c r="E46" s="456" t="str">
        <f>IFERROR(E28/D28-1,"")</f>
        <v/>
      </c>
      <c r="F46" s="456" t="str">
        <f t="shared" ref="F46:N46" si="9">IFERROR(F28/E28-1,"")</f>
        <v/>
      </c>
      <c r="G46" s="456" t="str">
        <f t="shared" si="9"/>
        <v/>
      </c>
      <c r="H46" s="456" t="str">
        <f t="shared" si="9"/>
        <v/>
      </c>
      <c r="I46" s="456" t="str">
        <f t="shared" si="9"/>
        <v/>
      </c>
      <c r="J46" s="456" t="str">
        <f t="shared" si="9"/>
        <v/>
      </c>
      <c r="K46" s="456" t="str">
        <f t="shared" si="9"/>
        <v/>
      </c>
      <c r="L46" s="456" t="str">
        <f t="shared" si="9"/>
        <v/>
      </c>
      <c r="M46" s="456" t="str">
        <f t="shared" si="9"/>
        <v/>
      </c>
      <c r="N46" s="456" t="str">
        <f t="shared" si="9"/>
        <v/>
      </c>
      <c r="P46" s="31"/>
    </row>
    <row r="47" spans="2:16">
      <c r="B47" s="421" t="str">
        <f>B29</f>
        <v>[Other operating expenses 1]</v>
      </c>
      <c r="C47" s="456"/>
      <c r="D47" s="456" t="str">
        <f>IFERROR(IF(D13="Y",D29/Historicals!N28-1,D29/Historicals!M28-1),"")</f>
        <v/>
      </c>
      <c r="E47" s="456" t="str">
        <f>IFERROR(E29/D29-1,"")</f>
        <v/>
      </c>
      <c r="F47" s="456" t="str">
        <f t="shared" ref="F47:N47" si="10">IFERROR(F29/E29-1,"")</f>
        <v/>
      </c>
      <c r="G47" s="456" t="str">
        <f t="shared" si="10"/>
        <v/>
      </c>
      <c r="H47" s="456" t="str">
        <f t="shared" si="10"/>
        <v/>
      </c>
      <c r="I47" s="456" t="str">
        <f t="shared" si="10"/>
        <v/>
      </c>
      <c r="J47" s="456" t="str">
        <f t="shared" si="10"/>
        <v/>
      </c>
      <c r="K47" s="456" t="str">
        <f t="shared" si="10"/>
        <v/>
      </c>
      <c r="L47" s="456" t="str">
        <f t="shared" si="10"/>
        <v/>
      </c>
      <c r="M47" s="456" t="str">
        <f t="shared" si="10"/>
        <v/>
      </c>
      <c r="N47" s="456" t="str">
        <f t="shared" si="10"/>
        <v/>
      </c>
      <c r="P47" s="31"/>
    </row>
    <row r="48" spans="2:16">
      <c r="B48" s="421" t="str">
        <f>B30</f>
        <v>[Other operating expenses 2]</v>
      </c>
      <c r="C48" s="456"/>
      <c r="D48" s="456" t="str">
        <f>IFERROR(IF(D13="Y",D30/Historicals!N29-1,D30/Historicals!M29-1),"")</f>
        <v/>
      </c>
      <c r="E48" s="456" t="str">
        <f>IFERROR(E30/D30-1,"")</f>
        <v/>
      </c>
      <c r="F48" s="456" t="str">
        <f t="shared" ref="F48:N48" si="11">IFERROR(F30/E30-1,"")</f>
        <v/>
      </c>
      <c r="G48" s="456" t="str">
        <f t="shared" si="11"/>
        <v/>
      </c>
      <c r="H48" s="456" t="str">
        <f t="shared" si="11"/>
        <v/>
      </c>
      <c r="I48" s="456" t="str">
        <f t="shared" si="11"/>
        <v/>
      </c>
      <c r="J48" s="456" t="str">
        <f t="shared" si="11"/>
        <v/>
      </c>
      <c r="K48" s="456" t="str">
        <f t="shared" si="11"/>
        <v/>
      </c>
      <c r="L48" s="456" t="str">
        <f t="shared" si="11"/>
        <v/>
      </c>
      <c r="M48" s="456" t="str">
        <f t="shared" si="11"/>
        <v/>
      </c>
      <c r="N48" s="456" t="str">
        <f t="shared" si="11"/>
        <v/>
      </c>
      <c r="P48" s="31"/>
    </row>
    <row r="49" spans="1:16">
      <c r="B49" s="13"/>
      <c r="C49" s="433"/>
      <c r="D49" s="436"/>
      <c r="E49" s="436"/>
      <c r="F49" s="436"/>
      <c r="G49" s="436"/>
      <c r="H49" s="436"/>
      <c r="I49" s="436"/>
      <c r="J49" s="436"/>
      <c r="K49" s="436"/>
      <c r="L49" s="436"/>
      <c r="M49" s="436"/>
      <c r="N49" s="436"/>
      <c r="P49" s="165"/>
    </row>
    <row r="50" spans="1:16" ht="10.5">
      <c r="B50" s="430" t="s">
        <v>80</v>
      </c>
      <c r="C50" s="433"/>
      <c r="D50" s="436"/>
      <c r="E50" s="436"/>
      <c r="F50" s="436"/>
      <c r="G50" s="436"/>
      <c r="H50" s="436"/>
      <c r="I50" s="436"/>
      <c r="J50" s="436"/>
      <c r="K50" s="436"/>
      <c r="L50" s="436"/>
      <c r="M50" s="436"/>
      <c r="N50" s="436"/>
      <c r="P50" s="165"/>
    </row>
    <row r="51" spans="1:16">
      <c r="B51" s="421" t="str">
        <f>B26</f>
        <v xml:space="preserve">[Selling &amp; marketing] </v>
      </c>
      <c r="C51" s="456"/>
      <c r="D51" s="456" t="str">
        <f t="shared" ref="D51:N51" si="12">IFERROR(-D26/D$17,"")</f>
        <v/>
      </c>
      <c r="E51" s="456" t="str">
        <f t="shared" si="12"/>
        <v/>
      </c>
      <c r="F51" s="456" t="str">
        <f t="shared" si="12"/>
        <v/>
      </c>
      <c r="G51" s="456" t="str">
        <f t="shared" si="12"/>
        <v/>
      </c>
      <c r="H51" s="456" t="str">
        <f t="shared" si="12"/>
        <v/>
      </c>
      <c r="I51" s="456" t="str">
        <f t="shared" si="12"/>
        <v/>
      </c>
      <c r="J51" s="456" t="str">
        <f t="shared" si="12"/>
        <v/>
      </c>
      <c r="K51" s="456" t="str">
        <f t="shared" si="12"/>
        <v/>
      </c>
      <c r="L51" s="456" t="str">
        <f t="shared" si="12"/>
        <v/>
      </c>
      <c r="M51" s="456" t="str">
        <f t="shared" si="12"/>
        <v/>
      </c>
      <c r="N51" s="456" t="str">
        <f t="shared" si="12"/>
        <v/>
      </c>
      <c r="P51" s="31"/>
    </row>
    <row r="52" spans="1:16">
      <c r="B52" s="421" t="str">
        <f>Historicals!B61</f>
        <v>GP margin</v>
      </c>
      <c r="C52" s="456"/>
      <c r="D52" s="456" t="str">
        <f>IFERROR(D24/D17,"")</f>
        <v/>
      </c>
      <c r="E52" s="456" t="str">
        <f t="shared" ref="E52:N52" si="13">IFERROR(E24/E17,"")</f>
        <v/>
      </c>
      <c r="F52" s="456" t="str">
        <f t="shared" si="13"/>
        <v/>
      </c>
      <c r="G52" s="456" t="str">
        <f t="shared" si="13"/>
        <v/>
      </c>
      <c r="H52" s="456" t="str">
        <f t="shared" si="13"/>
        <v/>
      </c>
      <c r="I52" s="456" t="str">
        <f t="shared" si="13"/>
        <v/>
      </c>
      <c r="J52" s="456" t="str">
        <f t="shared" si="13"/>
        <v/>
      </c>
      <c r="K52" s="456" t="str">
        <f t="shared" si="13"/>
        <v/>
      </c>
      <c r="L52" s="456" t="str">
        <f t="shared" si="13"/>
        <v/>
      </c>
      <c r="M52" s="456" t="str">
        <f t="shared" si="13"/>
        <v/>
      </c>
      <c r="N52" s="456" t="str">
        <f t="shared" si="13"/>
        <v/>
      </c>
      <c r="P52" s="31"/>
    </row>
    <row r="53" spans="1:16">
      <c r="B53" s="421" t="str">
        <f>Historicals!B62</f>
        <v>EBIT margin</v>
      </c>
      <c r="C53" s="456"/>
      <c r="D53" s="456" t="str">
        <f>IFERROR(D31/D17,"")</f>
        <v/>
      </c>
      <c r="E53" s="456" t="str">
        <f t="shared" ref="E53:N53" si="14">IFERROR(E31/E17,"")</f>
        <v/>
      </c>
      <c r="F53" s="456" t="str">
        <f t="shared" si="14"/>
        <v/>
      </c>
      <c r="G53" s="456" t="str">
        <f t="shared" si="14"/>
        <v/>
      </c>
      <c r="H53" s="456" t="str">
        <f t="shared" si="14"/>
        <v/>
      </c>
      <c r="I53" s="456" t="str">
        <f t="shared" si="14"/>
        <v/>
      </c>
      <c r="J53" s="456" t="str">
        <f t="shared" si="14"/>
        <v/>
      </c>
      <c r="K53" s="456" t="str">
        <f t="shared" si="14"/>
        <v/>
      </c>
      <c r="L53" s="456" t="str">
        <f t="shared" si="14"/>
        <v/>
      </c>
      <c r="M53" s="456" t="str">
        <f t="shared" si="14"/>
        <v/>
      </c>
      <c r="N53" s="456" t="str">
        <f t="shared" si="14"/>
        <v/>
      </c>
    </row>
    <row r="54" spans="1:16" ht="10.5" thickBot="1">
      <c r="B54" s="457" t="str">
        <f>Historicals!B63</f>
        <v>EBITDA margin</v>
      </c>
      <c r="C54" s="458"/>
      <c r="D54" s="458" t="str">
        <f>IFERROR(D35/D17,"")</f>
        <v/>
      </c>
      <c r="E54" s="458" t="str">
        <f t="shared" ref="E54:N54" si="15">IFERROR(E35/E17,"")</f>
        <v/>
      </c>
      <c r="F54" s="458" t="str">
        <f t="shared" si="15"/>
        <v/>
      </c>
      <c r="G54" s="458" t="str">
        <f t="shared" si="15"/>
        <v/>
      </c>
      <c r="H54" s="458" t="str">
        <f t="shared" si="15"/>
        <v/>
      </c>
      <c r="I54" s="458" t="str">
        <f t="shared" si="15"/>
        <v/>
      </c>
      <c r="J54" s="458" t="str">
        <f t="shared" si="15"/>
        <v/>
      </c>
      <c r="K54" s="458" t="str">
        <f t="shared" si="15"/>
        <v/>
      </c>
      <c r="L54" s="458" t="str">
        <f t="shared" si="15"/>
        <v/>
      </c>
      <c r="M54" s="458" t="str">
        <f t="shared" si="15"/>
        <v/>
      </c>
      <c r="N54" s="458" t="str">
        <f t="shared" si="15"/>
        <v/>
      </c>
    </row>
    <row r="55" spans="1:16">
      <c r="B55" s="791" t="s">
        <v>389</v>
      </c>
      <c r="C55" s="793"/>
      <c r="D55" s="793"/>
      <c r="E55" s="793"/>
      <c r="F55" s="793"/>
      <c r="G55" s="793"/>
      <c r="H55" s="793"/>
      <c r="I55" s="793"/>
      <c r="J55" s="793"/>
      <c r="K55" s="793"/>
      <c r="L55" s="793"/>
      <c r="M55" s="793"/>
      <c r="N55" s="793"/>
    </row>
    <row r="56" spans="1:16" ht="10.5" thickBot="1">
      <c r="C56" s="36"/>
      <c r="D56" s="36"/>
      <c r="E56" s="36"/>
      <c r="F56" s="36"/>
      <c r="G56" s="36"/>
      <c r="H56" s="36"/>
      <c r="I56" s="36"/>
      <c r="J56" s="36"/>
      <c r="K56" s="36"/>
      <c r="L56" s="36"/>
      <c r="M56" s="36"/>
      <c r="N56" s="36"/>
    </row>
    <row r="57" spans="1:16" ht="11" thickBot="1">
      <c r="B57" s="34" t="s">
        <v>547</v>
      </c>
      <c r="C57" s="837">
        <v>1</v>
      </c>
      <c r="D57" s="103">
        <f>IF($C$57=$A$67,D67,IF($C$57=$A$78,D78,D87))</f>
        <v>0</v>
      </c>
      <c r="E57" s="90">
        <f t="shared" ref="E57:N57" si="16">IF($C$57=$A$67,E67,IF($C$57=$A$78,E78,E87))</f>
        <v>0</v>
      </c>
      <c r="F57" s="90">
        <f t="shared" si="16"/>
        <v>0</v>
      </c>
      <c r="G57" s="90">
        <f t="shared" si="16"/>
        <v>0</v>
      </c>
      <c r="H57" s="90">
        <f t="shared" si="16"/>
        <v>0</v>
      </c>
      <c r="I57" s="90">
        <f t="shared" si="16"/>
        <v>0</v>
      </c>
      <c r="J57" s="90">
        <f t="shared" si="16"/>
        <v>0</v>
      </c>
      <c r="K57" s="90">
        <f t="shared" si="16"/>
        <v>0</v>
      </c>
      <c r="L57" s="90">
        <f t="shared" si="16"/>
        <v>0</v>
      </c>
      <c r="M57" s="90">
        <f t="shared" si="16"/>
        <v>0</v>
      </c>
      <c r="N57" s="90">
        <f t="shared" si="16"/>
        <v>0</v>
      </c>
    </row>
    <row r="58" spans="1:16" ht="11" thickBot="1">
      <c r="B58" s="34" t="s">
        <v>548</v>
      </c>
      <c r="C58" s="837">
        <v>1</v>
      </c>
      <c r="D58" s="103">
        <f t="shared" ref="D58:N58" si="17">IF($C$58=$A$101,D101,IF($C$58=$A$120,D120,D132))</f>
        <v>0</v>
      </c>
      <c r="E58" s="90">
        <f t="shared" si="17"/>
        <v>0</v>
      </c>
      <c r="F58" s="90">
        <f t="shared" si="17"/>
        <v>0</v>
      </c>
      <c r="G58" s="90">
        <f t="shared" si="17"/>
        <v>0</v>
      </c>
      <c r="H58" s="90">
        <f t="shared" si="17"/>
        <v>0</v>
      </c>
      <c r="I58" s="90">
        <f t="shared" si="17"/>
        <v>0</v>
      </c>
      <c r="J58" s="90">
        <f t="shared" si="17"/>
        <v>0</v>
      </c>
      <c r="K58" s="90">
        <f t="shared" si="17"/>
        <v>0</v>
      </c>
      <c r="L58" s="90">
        <f t="shared" si="17"/>
        <v>0</v>
      </c>
      <c r="M58" s="90">
        <f t="shared" si="17"/>
        <v>0</v>
      </c>
      <c r="N58" s="90">
        <f t="shared" si="17"/>
        <v>0</v>
      </c>
    </row>
    <row r="59" spans="1:16">
      <c r="C59" s="36"/>
      <c r="D59" s="36"/>
      <c r="E59" s="36"/>
      <c r="F59" s="36"/>
      <c r="G59" s="36"/>
      <c r="H59" s="36"/>
      <c r="I59" s="36"/>
      <c r="J59" s="36"/>
      <c r="K59" s="36"/>
      <c r="L59" s="36"/>
      <c r="M59" s="36"/>
      <c r="N59" s="36"/>
    </row>
    <row r="62" spans="1:16" ht="10.5">
      <c r="A62" t="s">
        <v>572</v>
      </c>
      <c r="B62" s="848" t="s">
        <v>567</v>
      </c>
      <c r="C62" s="849"/>
    </row>
    <row r="63" spans="1:16" ht="10.5" outlineLevel="1">
      <c r="B63" s="653" t="str">
        <f>Subject&amp;" Capital Expenditures Forecast"</f>
        <v>Netflix Capital Expenditures Forecast</v>
      </c>
      <c r="C63" s="653"/>
      <c r="D63" s="653"/>
      <c r="E63" s="653"/>
      <c r="F63" s="653"/>
      <c r="G63" s="653"/>
      <c r="H63" s="653"/>
      <c r="I63" s="653"/>
      <c r="J63" s="653"/>
      <c r="K63" s="653"/>
      <c r="L63" s="653"/>
      <c r="M63" s="653"/>
      <c r="N63" s="653"/>
      <c r="P63" s="89"/>
    </row>
    <row r="64" spans="1:16" ht="10.5" outlineLevel="1">
      <c r="B64" s="418" t="str">
        <f>B$16</f>
        <v>(USD k)</v>
      </c>
      <c r="C64" s="419"/>
      <c r="D64" s="419" t="str">
        <f>D$16</f>
        <v>FY26F</v>
      </c>
      <c r="E64" s="419" t="str">
        <f t="shared" ref="E64:N64" si="18">E$16</f>
        <v>FY27F</v>
      </c>
      <c r="F64" s="419" t="str">
        <f t="shared" si="18"/>
        <v>FY28F</v>
      </c>
      <c r="G64" s="419" t="str">
        <f t="shared" si="18"/>
        <v>FY29F</v>
      </c>
      <c r="H64" s="419" t="str">
        <f t="shared" si="18"/>
        <v>FY30F</v>
      </c>
      <c r="I64" s="419" t="str">
        <f t="shared" si="18"/>
        <v>FYTEF</v>
      </c>
      <c r="J64" s="419" t="str">
        <f t="shared" si="18"/>
        <v>FYTEF</v>
      </c>
      <c r="K64" s="419" t="str">
        <f t="shared" si="18"/>
        <v>FYTEF</v>
      </c>
      <c r="L64" s="419" t="str">
        <f t="shared" si="18"/>
        <v>FYTEF</v>
      </c>
      <c r="M64" s="419" t="str">
        <f t="shared" si="18"/>
        <v>FYTEF</v>
      </c>
      <c r="N64" s="419" t="str">
        <f t="shared" si="18"/>
        <v>FYTEF</v>
      </c>
      <c r="O64" s="89"/>
      <c r="P64" s="89"/>
    </row>
    <row r="65" spans="1:16" outlineLevel="1">
      <c r="B65" t="s">
        <v>504</v>
      </c>
      <c r="D65" s="790"/>
      <c r="E65" s="790"/>
      <c r="F65" s="790"/>
      <c r="G65" s="790"/>
      <c r="H65" s="790"/>
      <c r="I65" s="790"/>
      <c r="J65" s="790"/>
      <c r="K65" s="790"/>
      <c r="L65" s="790"/>
      <c r="M65" s="790"/>
      <c r="N65" s="790"/>
    </row>
    <row r="66" spans="1:16" outlineLevel="1">
      <c r="B66" t="s">
        <v>505</v>
      </c>
      <c r="D66" s="790"/>
      <c r="E66" s="790"/>
      <c r="F66" s="790"/>
      <c r="G66" s="790"/>
      <c r="H66" s="790"/>
      <c r="I66" s="790"/>
      <c r="J66" s="790"/>
      <c r="K66" s="790"/>
      <c r="L66" s="790"/>
      <c r="M66" s="790"/>
      <c r="N66" s="790"/>
    </row>
    <row r="67" spans="1:16" ht="11" outlineLevel="1" thickBot="1">
      <c r="A67">
        <v>1</v>
      </c>
      <c r="B67" s="656" t="s">
        <v>507</v>
      </c>
      <c r="C67" s="659"/>
      <c r="D67" s="660">
        <f>IFERROR(SUM(D65:D66),"")</f>
        <v>0</v>
      </c>
      <c r="E67" s="660">
        <f t="shared" ref="E67:N67" si="19">IFERROR(SUM(E65:E66),"")</f>
        <v>0</v>
      </c>
      <c r="F67" s="660">
        <f t="shared" si="19"/>
        <v>0</v>
      </c>
      <c r="G67" s="660">
        <f t="shared" si="19"/>
        <v>0</v>
      </c>
      <c r="H67" s="660">
        <f t="shared" si="19"/>
        <v>0</v>
      </c>
      <c r="I67" s="660">
        <f t="shared" si="19"/>
        <v>0</v>
      </c>
      <c r="J67" s="660">
        <f t="shared" si="19"/>
        <v>0</v>
      </c>
      <c r="K67" s="660">
        <f t="shared" si="19"/>
        <v>0</v>
      </c>
      <c r="L67" s="660">
        <f t="shared" si="19"/>
        <v>0</v>
      </c>
      <c r="M67" s="660">
        <f t="shared" si="19"/>
        <v>0</v>
      </c>
      <c r="N67" s="660">
        <f t="shared" si="19"/>
        <v>0</v>
      </c>
    </row>
    <row r="68" spans="1:16" outlineLevel="1">
      <c r="B68" s="791" t="s">
        <v>509</v>
      </c>
    </row>
    <row r="69" spans="1:16" outlineLevel="1"/>
    <row r="70" spans="1:16" outlineLevel="1">
      <c r="B70" t="s">
        <v>540</v>
      </c>
      <c r="D70" s="95">
        <f>(Historicals!N73-Forecast!D67-Forecast!D33)</f>
        <v>0</v>
      </c>
      <c r="E70" s="95">
        <f>(D70-Forecast!E67-Forecast!E33)</f>
        <v>0</v>
      </c>
      <c r="F70" s="95">
        <f>(E70-Forecast!F67-Forecast!F33)</f>
        <v>0</v>
      </c>
      <c r="G70" s="95">
        <f>(F70-Forecast!G67-Forecast!G33)</f>
        <v>0</v>
      </c>
      <c r="H70" s="95">
        <f>(G70-Forecast!H67-Forecast!H33)</f>
        <v>0</v>
      </c>
      <c r="I70" s="95">
        <f>(H70-Forecast!I67-Forecast!I33)</f>
        <v>0</v>
      </c>
      <c r="J70" s="95">
        <f>(I70-Forecast!J67-Forecast!J33)</f>
        <v>0</v>
      </c>
      <c r="K70" s="95">
        <f>(J70-Forecast!K67-Forecast!K33)</f>
        <v>0</v>
      </c>
      <c r="L70" s="95">
        <f>(K70-Forecast!L67-Forecast!L33)</f>
        <v>0</v>
      </c>
      <c r="M70" s="95">
        <f>(L70-Forecast!M67-Forecast!M33)</f>
        <v>0</v>
      </c>
      <c r="N70" s="95">
        <f>(M70-Forecast!N67-Forecast!N33)</f>
        <v>0</v>
      </c>
    </row>
    <row r="71" spans="1:16" ht="10.5" outlineLevel="1">
      <c r="B71" s="561" t="s">
        <v>491</v>
      </c>
      <c r="C71" s="707"/>
      <c r="D71" s="644" t="str">
        <f t="shared" ref="D71:N71" si="20">IFERROR(D67/D$17,"")</f>
        <v/>
      </c>
      <c r="E71" s="644" t="str">
        <f t="shared" si="20"/>
        <v/>
      </c>
      <c r="F71" s="644" t="str">
        <f t="shared" si="20"/>
        <v/>
      </c>
      <c r="G71" s="644" t="str">
        <f t="shared" si="20"/>
        <v/>
      </c>
      <c r="H71" s="644" t="str">
        <f t="shared" si="20"/>
        <v/>
      </c>
      <c r="I71" s="644" t="str">
        <f t="shared" si="20"/>
        <v/>
      </c>
      <c r="J71" s="644" t="str">
        <f t="shared" si="20"/>
        <v/>
      </c>
      <c r="K71" s="644" t="str">
        <f t="shared" si="20"/>
        <v/>
      </c>
      <c r="L71" s="644" t="str">
        <f t="shared" si="20"/>
        <v/>
      </c>
      <c r="M71" s="644" t="str">
        <f t="shared" si="20"/>
        <v/>
      </c>
      <c r="N71" s="644" t="str">
        <f t="shared" si="20"/>
        <v/>
      </c>
    </row>
    <row r="72" spans="1:16" ht="11" outlineLevel="1" thickBot="1">
      <c r="B72" s="787" t="s">
        <v>539</v>
      </c>
      <c r="C72" s="748"/>
      <c r="D72" s="807" t="str">
        <f t="shared" ref="D72:N72" si="21">IFERROR(D17/D70,"")</f>
        <v/>
      </c>
      <c r="E72" s="807" t="str">
        <f t="shared" si="21"/>
        <v/>
      </c>
      <c r="F72" s="807" t="str">
        <f t="shared" si="21"/>
        <v/>
      </c>
      <c r="G72" s="807" t="str">
        <f t="shared" si="21"/>
        <v/>
      </c>
      <c r="H72" s="807" t="str">
        <f t="shared" si="21"/>
        <v/>
      </c>
      <c r="I72" s="807" t="str">
        <f t="shared" si="21"/>
        <v/>
      </c>
      <c r="J72" s="807" t="str">
        <f t="shared" si="21"/>
        <v/>
      </c>
      <c r="K72" s="807" t="str">
        <f t="shared" si="21"/>
        <v/>
      </c>
      <c r="L72" s="807" t="str">
        <f t="shared" si="21"/>
        <v/>
      </c>
      <c r="M72" s="807" t="str">
        <f t="shared" si="21"/>
        <v/>
      </c>
      <c r="N72" s="807" t="str">
        <f t="shared" si="21"/>
        <v/>
      </c>
    </row>
    <row r="74" spans="1:16" ht="10.5">
      <c r="A74" t="s">
        <v>572</v>
      </c>
      <c r="B74" s="848" t="s">
        <v>570</v>
      </c>
      <c r="C74" s="849"/>
    </row>
    <row r="75" spans="1:16" ht="10.5" outlineLevel="1">
      <c r="B75" s="653" t="str">
        <f>Subject&amp;" Capital Expenditures Forecast"</f>
        <v>Netflix Capital Expenditures Forecast</v>
      </c>
      <c r="C75" s="653"/>
      <c r="D75" s="653"/>
      <c r="E75" s="653"/>
      <c r="F75" s="653"/>
      <c r="G75" s="653"/>
      <c r="H75" s="653"/>
      <c r="I75" s="653"/>
      <c r="J75" s="653"/>
      <c r="K75" s="653"/>
      <c r="L75" s="653"/>
      <c r="M75" s="653"/>
      <c r="N75" s="653"/>
      <c r="O75" s="89"/>
      <c r="P75" s="89"/>
    </row>
    <row r="76" spans="1:16" ht="10.5" outlineLevel="1">
      <c r="B76" s="418" t="str">
        <f>B$16</f>
        <v>(USD k)</v>
      </c>
      <c r="C76" s="419"/>
      <c r="D76" s="419" t="str">
        <f>D$16</f>
        <v>FY26F</v>
      </c>
      <c r="E76" s="419" t="str">
        <f t="shared" ref="E76:N76" si="22">E$16</f>
        <v>FY27F</v>
      </c>
      <c r="F76" s="419" t="str">
        <f t="shared" si="22"/>
        <v>FY28F</v>
      </c>
      <c r="G76" s="419" t="str">
        <f t="shared" si="22"/>
        <v>FY29F</v>
      </c>
      <c r="H76" s="419" t="str">
        <f t="shared" si="22"/>
        <v>FY30F</v>
      </c>
      <c r="I76" s="419" t="str">
        <f t="shared" si="22"/>
        <v>FYTEF</v>
      </c>
      <c r="J76" s="419" t="str">
        <f t="shared" si="22"/>
        <v>FYTEF</v>
      </c>
      <c r="K76" s="419" t="str">
        <f t="shared" si="22"/>
        <v>FYTEF</v>
      </c>
      <c r="L76" s="419" t="str">
        <f t="shared" si="22"/>
        <v>FYTEF</v>
      </c>
      <c r="M76" s="419" t="str">
        <f t="shared" si="22"/>
        <v>FYTEF</v>
      </c>
      <c r="N76" s="419" t="str">
        <f t="shared" si="22"/>
        <v>FYTEF</v>
      </c>
    </row>
    <row r="77" spans="1:16" ht="10.5" outlineLevel="1">
      <c r="B77" s="850" t="s">
        <v>540</v>
      </c>
      <c r="C77" s="852" t="str">
        <f>Historicals!O211</f>
        <v/>
      </c>
      <c r="D77" s="853" t="str">
        <f>IFERROR(D17/$C$77,"")</f>
        <v/>
      </c>
      <c r="E77" s="853" t="str">
        <f t="shared" ref="E77:N77" si="23">IFERROR(E17/$C$77,"")</f>
        <v/>
      </c>
      <c r="F77" s="853" t="str">
        <f t="shared" si="23"/>
        <v/>
      </c>
      <c r="G77" s="853" t="str">
        <f t="shared" si="23"/>
        <v/>
      </c>
      <c r="H77" s="853" t="str">
        <f t="shared" si="23"/>
        <v/>
      </c>
      <c r="I77" s="853" t="str">
        <f t="shared" si="23"/>
        <v/>
      </c>
      <c r="J77" s="853" t="str">
        <f t="shared" si="23"/>
        <v/>
      </c>
      <c r="K77" s="853" t="str">
        <f t="shared" si="23"/>
        <v/>
      </c>
      <c r="L77" s="853" t="str">
        <f t="shared" si="23"/>
        <v/>
      </c>
      <c r="M77" s="853" t="str">
        <f t="shared" si="23"/>
        <v/>
      </c>
      <c r="N77" s="853" t="str">
        <f t="shared" si="23"/>
        <v/>
      </c>
    </row>
    <row r="78" spans="1:16" ht="10.5" outlineLevel="1">
      <c r="A78">
        <v>2</v>
      </c>
      <c r="B78" s="851" t="s">
        <v>569</v>
      </c>
      <c r="C78" s="851"/>
      <c r="D78" s="858" t="str">
        <f>IFERROR(-(D77+D33-Historicals!N73),"")</f>
        <v/>
      </c>
      <c r="E78" s="858" t="str">
        <f>IFERROR(-(E77+E33-Historicals!O73),"")</f>
        <v/>
      </c>
      <c r="F78" s="858" t="str">
        <f>IFERROR(-(F77+F33-Historicals!P73),"")</f>
        <v/>
      </c>
      <c r="G78" s="858" t="str">
        <f>IFERROR(-(G77+G33-Historicals!Q73),"")</f>
        <v/>
      </c>
      <c r="H78" s="858" t="str">
        <f>IFERROR(-(H77+H33-Historicals!R73),"")</f>
        <v/>
      </c>
      <c r="I78" s="858" t="str">
        <f>IFERROR(-(I77+I33-Historicals!S73),"")</f>
        <v/>
      </c>
      <c r="J78" s="858" t="str">
        <f>IFERROR(-(J77+J33-Historicals!T73),"")</f>
        <v/>
      </c>
      <c r="K78" s="858" t="str">
        <f>IFERROR(-(K77+K33-Historicals!U73),"")</f>
        <v/>
      </c>
      <c r="L78" s="858" t="str">
        <f>IFERROR(-(L77+L33-Historicals!V73),"")</f>
        <v/>
      </c>
      <c r="M78" s="858" t="str">
        <f>IFERROR(-(M77+M33-Historicals!W73),"")</f>
        <v/>
      </c>
      <c r="N78" s="858" t="str">
        <f>IFERROR(-(N77+N33-Historicals!X73),"")</f>
        <v/>
      </c>
    </row>
    <row r="79" spans="1:16" outlineLevel="1">
      <c r="B79" s="791" t="s">
        <v>508</v>
      </c>
    </row>
    <row r="80" spans="1:16" outlineLevel="1">
      <c r="B80" s="791"/>
    </row>
    <row r="81" spans="1:16" ht="10.5" outlineLevel="1">
      <c r="B81" s="447" t="s">
        <v>491</v>
      </c>
      <c r="C81" s="707"/>
      <c r="D81" s="644" t="str">
        <f>IFERROR(D78/D$17,"")</f>
        <v/>
      </c>
      <c r="E81" s="644" t="str">
        <f t="shared" ref="E81:N81" si="24">IFERROR(E78/E$17,"")</f>
        <v/>
      </c>
      <c r="F81" s="644" t="str">
        <f t="shared" si="24"/>
        <v/>
      </c>
      <c r="G81" s="644" t="str">
        <f t="shared" si="24"/>
        <v/>
      </c>
      <c r="H81" s="644" t="str">
        <f t="shared" si="24"/>
        <v/>
      </c>
      <c r="I81" s="644" t="str">
        <f t="shared" si="24"/>
        <v/>
      </c>
      <c r="J81" s="644" t="str">
        <f t="shared" si="24"/>
        <v/>
      </c>
      <c r="K81" s="644" t="str">
        <f t="shared" si="24"/>
        <v/>
      </c>
      <c r="L81" s="644" t="str">
        <f t="shared" si="24"/>
        <v/>
      </c>
      <c r="M81" s="644" t="str">
        <f t="shared" si="24"/>
        <v/>
      </c>
      <c r="N81" s="644" t="str">
        <f t="shared" si="24"/>
        <v/>
      </c>
    </row>
    <row r="82" spans="1:16" ht="4.1500000000000004" customHeight="1" outlineLevel="1" thickBot="1">
      <c r="B82" s="747"/>
      <c r="C82" s="748"/>
      <c r="D82" s="748"/>
      <c r="E82" s="748"/>
      <c r="F82" s="748"/>
      <c r="G82" s="748"/>
      <c r="H82" s="748"/>
      <c r="I82" s="748"/>
      <c r="J82" s="748"/>
      <c r="K82" s="748"/>
      <c r="L82" s="748"/>
      <c r="M82" s="748"/>
      <c r="N82" s="748"/>
    </row>
    <row r="84" spans="1:16" ht="10.5">
      <c r="A84" t="s">
        <v>572</v>
      </c>
      <c r="B84" s="848" t="s">
        <v>571</v>
      </c>
      <c r="C84" s="849"/>
    </row>
    <row r="85" spans="1:16" ht="10.5" outlineLevel="1">
      <c r="B85" s="653" t="str">
        <f>Subject&amp;" Capital Expenditures Forecast"</f>
        <v>Netflix Capital Expenditures Forecast</v>
      </c>
      <c r="C85" s="653"/>
      <c r="D85" s="653"/>
      <c r="E85" s="653"/>
      <c r="F85" s="653"/>
      <c r="G85" s="653"/>
      <c r="H85" s="653"/>
      <c r="I85" s="653"/>
      <c r="J85" s="653"/>
      <c r="K85" s="653"/>
      <c r="L85" s="653"/>
      <c r="M85" s="653"/>
      <c r="N85" s="653"/>
      <c r="O85" s="89"/>
      <c r="P85" s="89"/>
    </row>
    <row r="86" spans="1:16" ht="10.5" outlineLevel="1">
      <c r="B86" s="418" t="str">
        <f>B$16</f>
        <v>(USD k)</v>
      </c>
      <c r="C86" s="419"/>
      <c r="D86" s="419" t="str">
        <f>D$16</f>
        <v>FY26F</v>
      </c>
      <c r="E86" s="419" t="str">
        <f t="shared" ref="E86:N86" si="25">E$16</f>
        <v>FY27F</v>
      </c>
      <c r="F86" s="419" t="str">
        <f t="shared" si="25"/>
        <v>FY28F</v>
      </c>
      <c r="G86" s="419" t="str">
        <f t="shared" si="25"/>
        <v>FY29F</v>
      </c>
      <c r="H86" s="419" t="str">
        <f t="shared" si="25"/>
        <v>FY30F</v>
      </c>
      <c r="I86" s="419" t="str">
        <f t="shared" si="25"/>
        <v>FYTEF</v>
      </c>
      <c r="J86" s="419" t="str">
        <f t="shared" si="25"/>
        <v>FYTEF</v>
      </c>
      <c r="K86" s="419" t="str">
        <f t="shared" si="25"/>
        <v>FYTEF</v>
      </c>
      <c r="L86" s="419" t="str">
        <f t="shared" si="25"/>
        <v>FYTEF</v>
      </c>
      <c r="M86" s="419" t="str">
        <f t="shared" si="25"/>
        <v>FYTEF</v>
      </c>
      <c r="N86" s="419" t="str">
        <f t="shared" si="25"/>
        <v>FYTEF</v>
      </c>
    </row>
    <row r="87" spans="1:16" ht="11" outlineLevel="1" thickBot="1">
      <c r="A87">
        <v>3</v>
      </c>
      <c r="B87" s="656" t="s">
        <v>490</v>
      </c>
      <c r="C87" s="752" t="str">
        <f>Historicals!O145</f>
        <v/>
      </c>
      <c r="D87" s="660" t="str">
        <f t="shared" ref="D87:N87" si="26">IFERROR(D17*$C$87,"")</f>
        <v/>
      </c>
      <c r="E87" s="660" t="str">
        <f t="shared" si="26"/>
        <v/>
      </c>
      <c r="F87" s="660" t="str">
        <f t="shared" si="26"/>
        <v/>
      </c>
      <c r="G87" s="660" t="str">
        <f t="shared" si="26"/>
        <v/>
      </c>
      <c r="H87" s="660" t="str">
        <f t="shared" si="26"/>
        <v/>
      </c>
      <c r="I87" s="660" t="str">
        <f t="shared" si="26"/>
        <v/>
      </c>
      <c r="J87" s="660" t="str">
        <f t="shared" si="26"/>
        <v/>
      </c>
      <c r="K87" s="660" t="str">
        <f t="shared" si="26"/>
        <v/>
      </c>
      <c r="L87" s="660" t="str">
        <f t="shared" si="26"/>
        <v/>
      </c>
      <c r="M87" s="660" t="str">
        <f t="shared" si="26"/>
        <v/>
      </c>
      <c r="N87" s="660" t="str">
        <f t="shared" si="26"/>
        <v/>
      </c>
    </row>
    <row r="88" spans="1:16" outlineLevel="1">
      <c r="B88" s="791" t="s">
        <v>508</v>
      </c>
    </row>
    <row r="92" spans="1:16" ht="10.5">
      <c r="A92" t="s">
        <v>572</v>
      </c>
      <c r="B92" s="848" t="s">
        <v>568</v>
      </c>
      <c r="C92" s="849"/>
    </row>
    <row r="93" spans="1:16" ht="10.5" outlineLevel="1">
      <c r="B93" s="653" t="str">
        <f>Subject&amp;" Net Working Capital Forecast"</f>
        <v>Netflix Net Working Capital Forecast</v>
      </c>
      <c r="C93" s="653"/>
      <c r="D93" s="653"/>
      <c r="E93" s="653"/>
      <c r="F93" s="653"/>
      <c r="G93" s="653"/>
      <c r="H93" s="653"/>
      <c r="I93" s="653"/>
      <c r="J93" s="653"/>
      <c r="K93" s="653"/>
      <c r="L93" s="653"/>
      <c r="M93" s="653"/>
      <c r="N93" s="653"/>
      <c r="O93" s="847" t="s">
        <v>506</v>
      </c>
      <c r="P93" s="89"/>
    </row>
    <row r="94" spans="1:16" ht="10.5" outlineLevel="1">
      <c r="B94" s="418" t="str">
        <f>B$16</f>
        <v>(USD k)</v>
      </c>
      <c r="C94" s="419"/>
      <c r="D94" s="419" t="str">
        <f>D$16</f>
        <v>FY26F</v>
      </c>
      <c r="E94" s="419" t="str">
        <f t="shared" ref="E94:N94" si="27">E$16</f>
        <v>FY27F</v>
      </c>
      <c r="F94" s="419" t="str">
        <f t="shared" si="27"/>
        <v>FY28F</v>
      </c>
      <c r="G94" s="419" t="str">
        <f t="shared" si="27"/>
        <v>FY29F</v>
      </c>
      <c r="H94" s="419" t="str">
        <f t="shared" si="27"/>
        <v>FY30F</v>
      </c>
      <c r="I94" s="419" t="str">
        <f t="shared" si="27"/>
        <v>FYTEF</v>
      </c>
      <c r="J94" s="419" t="str">
        <f t="shared" si="27"/>
        <v>FYTEF</v>
      </c>
      <c r="K94" s="419" t="str">
        <f t="shared" si="27"/>
        <v>FYTEF</v>
      </c>
      <c r="L94" s="419" t="str">
        <f t="shared" si="27"/>
        <v>FYTEF</v>
      </c>
      <c r="M94" s="419" t="str">
        <f t="shared" si="27"/>
        <v>FYTEF</v>
      </c>
      <c r="N94" s="419" t="str">
        <f t="shared" si="27"/>
        <v>FYTEF</v>
      </c>
    </row>
    <row r="95" spans="1:16" outlineLevel="1">
      <c r="B95" t="str">
        <f t="shared" ref="B95:B100" si="28">B126</f>
        <v>Trade receivables</v>
      </c>
      <c r="D95" s="790"/>
      <c r="E95" s="790"/>
      <c r="F95" s="790"/>
      <c r="G95" s="790"/>
      <c r="H95" s="790"/>
      <c r="I95" s="790"/>
      <c r="J95" s="790"/>
      <c r="K95" s="790"/>
      <c r="L95" s="790"/>
      <c r="M95" s="790"/>
      <c r="N95" s="790"/>
    </row>
    <row r="96" spans="1:16" outlineLevel="1">
      <c r="B96" t="str">
        <f t="shared" si="28"/>
        <v>Inventory</v>
      </c>
      <c r="D96" s="790"/>
      <c r="E96" s="790"/>
      <c r="F96" s="790"/>
      <c r="G96" s="790"/>
      <c r="H96" s="790"/>
      <c r="I96" s="790"/>
      <c r="J96" s="790"/>
      <c r="K96" s="790"/>
      <c r="L96" s="790"/>
      <c r="M96" s="790"/>
      <c r="N96" s="790"/>
    </row>
    <row r="97" spans="1:14" outlineLevel="1">
      <c r="B97" t="str">
        <f t="shared" si="28"/>
        <v>Trade payables</v>
      </c>
      <c r="D97" s="790"/>
      <c r="E97" s="790"/>
      <c r="F97" s="790"/>
      <c r="G97" s="790"/>
      <c r="H97" s="790"/>
      <c r="I97" s="790"/>
      <c r="J97" s="790"/>
      <c r="K97" s="790"/>
      <c r="L97" s="790"/>
      <c r="M97" s="790"/>
      <c r="N97" s="790"/>
    </row>
    <row r="98" spans="1:14" outlineLevel="1">
      <c r="B98" t="str">
        <f t="shared" si="28"/>
        <v>Other current assets</v>
      </c>
      <c r="D98" s="790"/>
      <c r="E98" s="790"/>
      <c r="F98" s="790"/>
      <c r="G98" s="790"/>
      <c r="H98" s="790"/>
      <c r="I98" s="790"/>
      <c r="J98" s="790"/>
      <c r="K98" s="790"/>
      <c r="L98" s="790"/>
      <c r="M98" s="790"/>
      <c r="N98" s="790"/>
    </row>
    <row r="99" spans="1:14" outlineLevel="1">
      <c r="B99" t="str">
        <f t="shared" si="28"/>
        <v>Other current liabilities</v>
      </c>
      <c r="D99" s="790"/>
      <c r="E99" s="790"/>
      <c r="F99" s="790"/>
      <c r="G99" s="790"/>
      <c r="H99" s="790"/>
      <c r="I99" s="790"/>
      <c r="J99" s="790"/>
      <c r="K99" s="790"/>
      <c r="L99" s="790"/>
      <c r="M99" s="790"/>
      <c r="N99" s="790"/>
    </row>
    <row r="100" spans="1:14" outlineLevel="1">
      <c r="B100" s="801" t="str">
        <f t="shared" si="28"/>
        <v>Net working capital</v>
      </c>
      <c r="C100" s="801"/>
      <c r="D100" s="788">
        <f>SUM(D95:D99)</f>
        <v>0</v>
      </c>
      <c r="E100" s="789">
        <f t="shared" ref="E100" si="29">SUM(E95:E99)</f>
        <v>0</v>
      </c>
      <c r="F100" s="789">
        <f t="shared" ref="F100" si="30">SUM(F95:F99)</f>
        <v>0</v>
      </c>
      <c r="G100" s="789">
        <f t="shared" ref="G100" si="31">SUM(G95:G99)</f>
        <v>0</v>
      </c>
      <c r="H100" s="789">
        <f t="shared" ref="H100" si="32">SUM(H95:H99)</f>
        <v>0</v>
      </c>
      <c r="I100" s="789">
        <f t="shared" ref="I100" si="33">SUM(I95:I99)</f>
        <v>0</v>
      </c>
      <c r="J100" s="789">
        <f t="shared" ref="J100" si="34">SUM(J95:J99)</f>
        <v>0</v>
      </c>
      <c r="K100" s="789">
        <f t="shared" ref="K100" si="35">SUM(K95:K99)</f>
        <v>0</v>
      </c>
      <c r="L100" s="789">
        <f t="shared" ref="L100" si="36">SUM(L95:L99)</f>
        <v>0</v>
      </c>
      <c r="M100" s="789">
        <f t="shared" ref="M100" si="37">SUM(M95:M99)</f>
        <v>0</v>
      </c>
      <c r="N100" s="789">
        <f t="shared" ref="N100" si="38">SUM(N95:N99)</f>
        <v>0</v>
      </c>
    </row>
    <row r="101" spans="1:14" ht="11" outlineLevel="1" thickBot="1">
      <c r="A101">
        <v>1</v>
      </c>
      <c r="B101" s="656" t="s">
        <v>470</v>
      </c>
      <c r="C101" s="659"/>
      <c r="D101" s="660">
        <f>IFERROR(Historicals!$N$162-D100,"")</f>
        <v>0</v>
      </c>
      <c r="E101" s="660">
        <f>IFERROR(D100-E100,"")</f>
        <v>0</v>
      </c>
      <c r="F101" s="660">
        <f t="shared" ref="F101" si="39">IFERROR(E100-F100,"")</f>
        <v>0</v>
      </c>
      <c r="G101" s="660">
        <f t="shared" ref="G101" si="40">IFERROR(F100-G100,"")</f>
        <v>0</v>
      </c>
      <c r="H101" s="660">
        <f t="shared" ref="H101" si="41">IFERROR(G100-H100,"")</f>
        <v>0</v>
      </c>
      <c r="I101" s="660">
        <f t="shared" ref="I101" si="42">IFERROR(H100-I100,"")</f>
        <v>0</v>
      </c>
      <c r="J101" s="660">
        <f t="shared" ref="J101" si="43">IFERROR(I100-J100,"")</f>
        <v>0</v>
      </c>
      <c r="K101" s="660">
        <f t="shared" ref="K101" si="44">IFERROR(J100-K100,"")</f>
        <v>0</v>
      </c>
      <c r="L101" s="660">
        <f t="shared" ref="L101" si="45">IFERROR(K100-L100,"")</f>
        <v>0</v>
      </c>
      <c r="M101" s="660">
        <f t="shared" ref="M101" si="46">IFERROR(L100-M100,"")</f>
        <v>0</v>
      </c>
      <c r="N101" s="660">
        <f t="shared" ref="N101" si="47">IFERROR(M100-N100,"")</f>
        <v>0</v>
      </c>
    </row>
    <row r="102" spans="1:14" outlineLevel="1">
      <c r="B102" s="791" t="s">
        <v>508</v>
      </c>
    </row>
    <row r="103" spans="1:14" outlineLevel="1"/>
    <row r="104" spans="1:14" ht="10.5" outlineLevel="1">
      <c r="B104" s="696" t="s">
        <v>471</v>
      </c>
      <c r="D104" s="90"/>
      <c r="E104" s="90"/>
      <c r="F104" s="90"/>
      <c r="G104" s="90"/>
      <c r="H104" s="90"/>
      <c r="I104" s="90"/>
      <c r="J104" s="90"/>
      <c r="K104" s="90"/>
      <c r="L104" s="90"/>
      <c r="M104" s="90"/>
      <c r="N104" s="90"/>
    </row>
    <row r="105" spans="1:14" outlineLevel="1">
      <c r="B105" s="432" t="str">
        <f>Historicals!B219</f>
        <v>Collection period (days)</v>
      </c>
      <c r="D105" s="90" t="str">
        <f t="shared" ref="D105:N105" si="48">IFERROR(D95/D17*365,"")</f>
        <v/>
      </c>
      <c r="E105" s="90" t="str">
        <f t="shared" si="48"/>
        <v/>
      </c>
      <c r="F105" s="90" t="str">
        <f t="shared" si="48"/>
        <v/>
      </c>
      <c r="G105" s="90" t="str">
        <f t="shared" si="48"/>
        <v/>
      </c>
      <c r="H105" s="90" t="str">
        <f t="shared" si="48"/>
        <v/>
      </c>
      <c r="I105" s="90" t="str">
        <f t="shared" si="48"/>
        <v/>
      </c>
      <c r="J105" s="90" t="str">
        <f t="shared" si="48"/>
        <v/>
      </c>
      <c r="K105" s="90" t="str">
        <f t="shared" si="48"/>
        <v/>
      </c>
      <c r="L105" s="90" t="str">
        <f t="shared" si="48"/>
        <v/>
      </c>
      <c r="M105" s="90" t="str">
        <f t="shared" si="48"/>
        <v/>
      </c>
      <c r="N105" s="90" t="str">
        <f t="shared" si="48"/>
        <v/>
      </c>
    </row>
    <row r="106" spans="1:14" outlineLevel="1">
      <c r="B106" s="432" t="str">
        <f>Historicals!B220</f>
        <v>Payment period (days)</v>
      </c>
      <c r="D106" s="90" t="str">
        <f t="shared" ref="D106:N106" si="49">IFERROR(D97/D23*365,"")</f>
        <v/>
      </c>
      <c r="E106" s="90" t="str">
        <f t="shared" si="49"/>
        <v/>
      </c>
      <c r="F106" s="90" t="str">
        <f t="shared" si="49"/>
        <v/>
      </c>
      <c r="G106" s="90" t="str">
        <f t="shared" si="49"/>
        <v/>
      </c>
      <c r="H106" s="90" t="str">
        <f t="shared" si="49"/>
        <v/>
      </c>
      <c r="I106" s="90" t="str">
        <f t="shared" si="49"/>
        <v/>
      </c>
      <c r="J106" s="90" t="str">
        <f t="shared" si="49"/>
        <v/>
      </c>
      <c r="K106" s="90" t="str">
        <f t="shared" si="49"/>
        <v/>
      </c>
      <c r="L106" s="90" t="str">
        <f t="shared" si="49"/>
        <v/>
      </c>
      <c r="M106" s="90" t="str">
        <f t="shared" si="49"/>
        <v/>
      </c>
      <c r="N106" s="90" t="str">
        <f t="shared" si="49"/>
        <v/>
      </c>
    </row>
    <row r="107" spans="1:14" outlineLevel="1">
      <c r="B107" s="432" t="str">
        <f>Historicals!B221</f>
        <v>Inventory (days on hand)</v>
      </c>
      <c r="D107" s="90" t="str">
        <f t="shared" ref="D107:N107" si="50">IFERROR(D96/D23*365,"")</f>
        <v/>
      </c>
      <c r="E107" s="90" t="str">
        <f t="shared" si="50"/>
        <v/>
      </c>
      <c r="F107" s="90" t="str">
        <f t="shared" si="50"/>
        <v/>
      </c>
      <c r="G107" s="90" t="str">
        <f t="shared" si="50"/>
        <v/>
      </c>
      <c r="H107" s="90" t="str">
        <f t="shared" si="50"/>
        <v/>
      </c>
      <c r="I107" s="90" t="str">
        <f t="shared" si="50"/>
        <v/>
      </c>
      <c r="J107" s="90" t="str">
        <f t="shared" si="50"/>
        <v/>
      </c>
      <c r="K107" s="90" t="str">
        <f t="shared" si="50"/>
        <v/>
      </c>
      <c r="L107" s="90" t="str">
        <f t="shared" si="50"/>
        <v/>
      </c>
      <c r="M107" s="90" t="str">
        <f t="shared" si="50"/>
        <v/>
      </c>
      <c r="N107" s="90" t="str">
        <f t="shared" si="50"/>
        <v/>
      </c>
    </row>
    <row r="108" spans="1:14" ht="10.5" outlineLevel="1">
      <c r="B108" s="716" t="str">
        <f>Historicals!B222</f>
        <v>Cash conversion (days)</v>
      </c>
      <c r="D108" s="718" t="str">
        <f>IFERROR(D107+D105-D106,"")</f>
        <v/>
      </c>
      <c r="E108" s="718" t="str">
        <f t="shared" ref="E108:N108" si="51">IFERROR(E107+E105-E106,"")</f>
        <v/>
      </c>
      <c r="F108" s="718" t="str">
        <f t="shared" si="51"/>
        <v/>
      </c>
      <c r="G108" s="718" t="str">
        <f t="shared" si="51"/>
        <v/>
      </c>
      <c r="H108" s="718" t="str">
        <f t="shared" si="51"/>
        <v/>
      </c>
      <c r="I108" s="718" t="str">
        <f t="shared" si="51"/>
        <v/>
      </c>
      <c r="J108" s="718" t="str">
        <f t="shared" si="51"/>
        <v/>
      </c>
      <c r="K108" s="718" t="str">
        <f t="shared" si="51"/>
        <v/>
      </c>
      <c r="L108" s="718" t="str">
        <f t="shared" si="51"/>
        <v/>
      </c>
      <c r="M108" s="718" t="str">
        <f t="shared" si="51"/>
        <v/>
      </c>
      <c r="N108" s="718" t="str">
        <f t="shared" si="51"/>
        <v/>
      </c>
    </row>
    <row r="109" spans="1:14" outlineLevel="1"/>
    <row r="110" spans="1:14" ht="10.5" outlineLevel="1">
      <c r="B110" s="696" t="str">
        <f>Historicals!B224</f>
        <v>As a % of revenue</v>
      </c>
    </row>
    <row r="111" spans="1:14" outlineLevel="1">
      <c r="B111" s="802" t="str">
        <f>Historicals!B225</f>
        <v>Other current assets</v>
      </c>
      <c r="D111" s="644" t="str">
        <f t="shared" ref="D111:N111" si="52">IFERROR(D98/D$17,"")</f>
        <v/>
      </c>
      <c r="E111" s="644" t="str">
        <f t="shared" si="52"/>
        <v/>
      </c>
      <c r="F111" s="644" t="str">
        <f t="shared" si="52"/>
        <v/>
      </c>
      <c r="G111" s="644" t="str">
        <f t="shared" si="52"/>
        <v/>
      </c>
      <c r="H111" s="644" t="str">
        <f t="shared" si="52"/>
        <v/>
      </c>
      <c r="I111" s="644" t="str">
        <f t="shared" si="52"/>
        <v/>
      </c>
      <c r="J111" s="644" t="str">
        <f t="shared" si="52"/>
        <v/>
      </c>
      <c r="K111" s="644" t="str">
        <f t="shared" si="52"/>
        <v/>
      </c>
      <c r="L111" s="644" t="str">
        <f t="shared" si="52"/>
        <v/>
      </c>
      <c r="M111" s="644" t="str">
        <f t="shared" si="52"/>
        <v/>
      </c>
      <c r="N111" s="644" t="str">
        <f t="shared" si="52"/>
        <v/>
      </c>
    </row>
    <row r="112" spans="1:14" outlineLevel="1">
      <c r="B112" s="802" t="str">
        <f>Historicals!B226</f>
        <v>Other current liabilities</v>
      </c>
      <c r="D112" s="644" t="str">
        <f t="shared" ref="D112:N112" si="53">IFERROR(D99/D$17,"")</f>
        <v/>
      </c>
      <c r="E112" s="644" t="str">
        <f t="shared" si="53"/>
        <v/>
      </c>
      <c r="F112" s="644" t="str">
        <f t="shared" si="53"/>
        <v/>
      </c>
      <c r="G112" s="644" t="str">
        <f t="shared" si="53"/>
        <v/>
      </c>
      <c r="H112" s="644" t="str">
        <f t="shared" si="53"/>
        <v/>
      </c>
      <c r="I112" s="644" t="str">
        <f t="shared" si="53"/>
        <v/>
      </c>
      <c r="J112" s="644" t="str">
        <f t="shared" si="53"/>
        <v/>
      </c>
      <c r="K112" s="644" t="str">
        <f t="shared" si="53"/>
        <v/>
      </c>
      <c r="L112" s="644" t="str">
        <f t="shared" si="53"/>
        <v/>
      </c>
      <c r="M112" s="644" t="str">
        <f t="shared" si="53"/>
        <v/>
      </c>
      <c r="N112" s="644" t="str">
        <f t="shared" si="53"/>
        <v/>
      </c>
    </row>
    <row r="113" spans="1:16" ht="4.9000000000000004" customHeight="1" outlineLevel="1" thickBot="1">
      <c r="B113" s="453"/>
      <c r="C113" s="454"/>
      <c r="D113" s="454"/>
      <c r="E113" s="454"/>
      <c r="F113" s="454"/>
      <c r="G113" s="454"/>
      <c r="H113" s="454"/>
      <c r="I113" s="454"/>
      <c r="J113" s="454"/>
      <c r="K113" s="454"/>
      <c r="L113" s="454"/>
      <c r="M113" s="454"/>
      <c r="N113" s="454"/>
    </row>
    <row r="114" spans="1:16" outlineLevel="1">
      <c r="B114" s="791" t="s">
        <v>389</v>
      </c>
      <c r="C114" s="798"/>
      <c r="D114" s="798"/>
      <c r="E114" s="798"/>
      <c r="F114" s="798"/>
      <c r="G114" s="798"/>
      <c r="H114" s="798"/>
      <c r="I114" s="798"/>
      <c r="J114" s="798"/>
      <c r="K114" s="798"/>
      <c r="L114" s="798"/>
      <c r="M114" s="798"/>
      <c r="N114" s="798"/>
    </row>
    <row r="116" spans="1:16" ht="10.5">
      <c r="A116" t="s">
        <v>572</v>
      </c>
      <c r="B116" s="848" t="s">
        <v>573</v>
      </c>
    </row>
    <row r="117" spans="1:16" ht="10.5" outlineLevel="1">
      <c r="B117" s="653" t="str">
        <f>Subject&amp;" Net Working Capital Forecast"</f>
        <v>Netflix Net Working Capital Forecast</v>
      </c>
      <c r="C117" s="653"/>
      <c r="D117" s="653"/>
      <c r="E117" s="653"/>
      <c r="F117" s="653"/>
      <c r="G117" s="653"/>
      <c r="H117" s="653"/>
      <c r="I117" s="653"/>
      <c r="J117" s="653"/>
      <c r="K117" s="653"/>
      <c r="L117" s="653"/>
      <c r="M117" s="653"/>
      <c r="N117" s="653"/>
      <c r="O117" s="89" t="s">
        <v>510</v>
      </c>
      <c r="P117" s="89"/>
    </row>
    <row r="118" spans="1:16" ht="10.5" outlineLevel="1">
      <c r="B118" s="418" t="str">
        <f>B$16</f>
        <v>(USD k)</v>
      </c>
      <c r="C118" s="419"/>
      <c r="D118" s="419" t="str">
        <f>D$16</f>
        <v>FY26F</v>
      </c>
      <c r="E118" s="419" t="str">
        <f t="shared" ref="E118:N118" si="54">E$16</f>
        <v>FY27F</v>
      </c>
      <c r="F118" s="419" t="str">
        <f t="shared" si="54"/>
        <v>FY28F</v>
      </c>
      <c r="G118" s="419" t="str">
        <f t="shared" si="54"/>
        <v>FY29F</v>
      </c>
      <c r="H118" s="419" t="str">
        <f t="shared" si="54"/>
        <v>FY30F</v>
      </c>
      <c r="I118" s="419" t="str">
        <f t="shared" si="54"/>
        <v>FYTEF</v>
      </c>
      <c r="J118" s="419" t="str">
        <f t="shared" si="54"/>
        <v>FYTEF</v>
      </c>
      <c r="K118" s="419" t="str">
        <f t="shared" si="54"/>
        <v>FYTEF</v>
      </c>
      <c r="L118" s="419" t="str">
        <f t="shared" si="54"/>
        <v>FYTEF</v>
      </c>
      <c r="M118" s="419" t="str">
        <f t="shared" si="54"/>
        <v>FYTEF</v>
      </c>
      <c r="N118" s="419" t="str">
        <f t="shared" si="54"/>
        <v>FYTEF</v>
      </c>
    </row>
    <row r="119" spans="1:16" outlineLevel="1">
      <c r="B119" t="s">
        <v>88</v>
      </c>
      <c r="C119" s="754" t="str">
        <f>Historicals!O164</f>
        <v/>
      </c>
      <c r="D119" s="90" t="str">
        <f t="shared" ref="D119:N119" si="55">IFERROR(D17*$C$119,"")</f>
        <v/>
      </c>
      <c r="E119" s="90" t="str">
        <f t="shared" si="55"/>
        <v/>
      </c>
      <c r="F119" s="90" t="str">
        <f t="shared" si="55"/>
        <v/>
      </c>
      <c r="G119" s="90" t="str">
        <f t="shared" si="55"/>
        <v/>
      </c>
      <c r="H119" s="90" t="str">
        <f t="shared" si="55"/>
        <v/>
      </c>
      <c r="I119" s="90" t="str">
        <f t="shared" si="55"/>
        <v/>
      </c>
      <c r="J119" s="90" t="str">
        <f t="shared" si="55"/>
        <v/>
      </c>
      <c r="K119" s="90" t="str">
        <f t="shared" si="55"/>
        <v/>
      </c>
      <c r="L119" s="90" t="str">
        <f t="shared" si="55"/>
        <v/>
      </c>
      <c r="M119" s="90" t="str">
        <f t="shared" si="55"/>
        <v/>
      </c>
      <c r="N119" s="90" t="str">
        <f t="shared" si="55"/>
        <v/>
      </c>
    </row>
    <row r="120" spans="1:16" ht="11" outlineLevel="1" thickBot="1">
      <c r="A120">
        <v>2</v>
      </c>
      <c r="B120" s="656" t="s">
        <v>470</v>
      </c>
      <c r="C120" s="659"/>
      <c r="D120" s="660" t="str">
        <f>IFERROR(Historicals!$N$162-D119,"")</f>
        <v/>
      </c>
      <c r="E120" s="660" t="str">
        <f>IFERROR(D119-E119,"")</f>
        <v/>
      </c>
      <c r="F120" s="660" t="str">
        <f t="shared" ref="F120:N120" si="56">IFERROR(E119-F119,"")</f>
        <v/>
      </c>
      <c r="G120" s="660" t="str">
        <f t="shared" si="56"/>
        <v/>
      </c>
      <c r="H120" s="660" t="str">
        <f t="shared" si="56"/>
        <v/>
      </c>
      <c r="I120" s="660" t="str">
        <f t="shared" si="56"/>
        <v/>
      </c>
      <c r="J120" s="660" t="str">
        <f t="shared" si="56"/>
        <v/>
      </c>
      <c r="K120" s="660" t="str">
        <f t="shared" si="56"/>
        <v/>
      </c>
      <c r="L120" s="660" t="str">
        <f t="shared" si="56"/>
        <v/>
      </c>
      <c r="M120" s="660" t="str">
        <f t="shared" si="56"/>
        <v/>
      </c>
      <c r="N120" s="660" t="str">
        <f t="shared" si="56"/>
        <v/>
      </c>
    </row>
    <row r="121" spans="1:16" outlineLevel="1">
      <c r="B121" s="791" t="s">
        <v>508</v>
      </c>
    </row>
    <row r="123" spans="1:16" ht="10.5">
      <c r="A123" t="s">
        <v>572</v>
      </c>
      <c r="B123" s="848" t="s">
        <v>574</v>
      </c>
    </row>
    <row r="124" spans="1:16" ht="10.5" outlineLevel="1">
      <c r="B124" s="653" t="str">
        <f>Subject&amp;" Net Working Capital Forecast"</f>
        <v>Netflix Net Working Capital Forecast</v>
      </c>
      <c r="C124" s="653"/>
      <c r="D124" s="653"/>
      <c r="E124" s="653"/>
      <c r="F124" s="653"/>
      <c r="G124" s="653"/>
      <c r="H124" s="653"/>
      <c r="I124" s="653"/>
      <c r="J124" s="653"/>
      <c r="K124" s="653"/>
      <c r="L124" s="653"/>
      <c r="M124" s="653"/>
      <c r="N124" s="653"/>
    </row>
    <row r="125" spans="1:16" ht="10.5" outlineLevel="1">
      <c r="B125" s="418" t="str">
        <f>B$16</f>
        <v>(USD k)</v>
      </c>
      <c r="C125" s="419"/>
      <c r="D125" s="419" t="str">
        <f>D$16</f>
        <v>FY26F</v>
      </c>
      <c r="E125" s="419" t="str">
        <f t="shared" ref="E125:N125" si="57">E$16</f>
        <v>FY27F</v>
      </c>
      <c r="F125" s="419" t="str">
        <f t="shared" si="57"/>
        <v>FY28F</v>
      </c>
      <c r="G125" s="419" t="str">
        <f t="shared" si="57"/>
        <v>FY29F</v>
      </c>
      <c r="H125" s="419" t="str">
        <f t="shared" si="57"/>
        <v>FY30F</v>
      </c>
      <c r="I125" s="419" t="str">
        <f t="shared" si="57"/>
        <v>FYTEF</v>
      </c>
      <c r="J125" s="419" t="str">
        <f t="shared" si="57"/>
        <v>FYTEF</v>
      </c>
      <c r="K125" s="419" t="str">
        <f t="shared" si="57"/>
        <v>FYTEF</v>
      </c>
      <c r="L125" s="419" t="str">
        <f t="shared" si="57"/>
        <v>FYTEF</v>
      </c>
      <c r="M125" s="419" t="str">
        <f t="shared" si="57"/>
        <v>FYTEF</v>
      </c>
      <c r="N125" s="419" t="str">
        <f t="shared" si="57"/>
        <v>FYTEF</v>
      </c>
      <c r="O125" t="s">
        <v>546</v>
      </c>
    </row>
    <row r="126" spans="1:16" outlineLevel="1">
      <c r="B126" t="str">
        <f>Historicals!B188</f>
        <v>Trade receivables</v>
      </c>
      <c r="C126" s="504" t="str">
        <f>Historicals!O219</f>
        <v/>
      </c>
      <c r="D126" s="90" t="str">
        <f t="shared" ref="D126:N126" si="58">IFERROR($C$126*D17/365,"")</f>
        <v/>
      </c>
      <c r="E126" s="90" t="str">
        <f t="shared" si="58"/>
        <v/>
      </c>
      <c r="F126" s="90" t="str">
        <f t="shared" si="58"/>
        <v/>
      </c>
      <c r="G126" s="90" t="str">
        <f t="shared" si="58"/>
        <v/>
      </c>
      <c r="H126" s="90" t="str">
        <f t="shared" si="58"/>
        <v/>
      </c>
      <c r="I126" s="90" t="str">
        <f t="shared" si="58"/>
        <v/>
      </c>
      <c r="J126" s="90" t="str">
        <f t="shared" si="58"/>
        <v/>
      </c>
      <c r="K126" s="90" t="str">
        <f t="shared" si="58"/>
        <v/>
      </c>
      <c r="L126" s="90" t="str">
        <f t="shared" si="58"/>
        <v/>
      </c>
      <c r="M126" s="90" t="str">
        <f t="shared" si="58"/>
        <v/>
      </c>
      <c r="N126" s="90" t="str">
        <f t="shared" si="58"/>
        <v/>
      </c>
    </row>
    <row r="127" spans="1:16" outlineLevel="1">
      <c r="B127" t="str">
        <f>Historicals!B189</f>
        <v>Inventory</v>
      </c>
      <c r="C127" s="504" t="str">
        <f>Historicals!O221</f>
        <v/>
      </c>
      <c r="D127" s="90" t="str">
        <f t="shared" ref="D127:N127" si="59">IFERROR($C$127*-D23/365,"")</f>
        <v/>
      </c>
      <c r="E127" s="90" t="str">
        <f t="shared" si="59"/>
        <v/>
      </c>
      <c r="F127" s="90" t="str">
        <f t="shared" si="59"/>
        <v/>
      </c>
      <c r="G127" s="90" t="str">
        <f t="shared" si="59"/>
        <v/>
      </c>
      <c r="H127" s="90" t="str">
        <f t="shared" si="59"/>
        <v/>
      </c>
      <c r="I127" s="90" t="str">
        <f t="shared" si="59"/>
        <v/>
      </c>
      <c r="J127" s="90" t="str">
        <f t="shared" si="59"/>
        <v/>
      </c>
      <c r="K127" s="90" t="str">
        <f t="shared" si="59"/>
        <v/>
      </c>
      <c r="L127" s="90" t="str">
        <f t="shared" si="59"/>
        <v/>
      </c>
      <c r="M127" s="90" t="str">
        <f t="shared" si="59"/>
        <v/>
      </c>
      <c r="N127" s="90" t="str">
        <f t="shared" si="59"/>
        <v/>
      </c>
    </row>
    <row r="128" spans="1:16" outlineLevel="1">
      <c r="B128" t="str">
        <f>Historicals!B190</f>
        <v>Trade payables</v>
      </c>
      <c r="C128" s="504" t="str">
        <f>Historicals!O220</f>
        <v/>
      </c>
      <c r="D128" s="90" t="str">
        <f t="shared" ref="D128:N128" si="60">IFERROR($C$128*D23/365,"")</f>
        <v/>
      </c>
      <c r="E128" s="90" t="str">
        <f t="shared" si="60"/>
        <v/>
      </c>
      <c r="F128" s="90" t="str">
        <f t="shared" si="60"/>
        <v/>
      </c>
      <c r="G128" s="90" t="str">
        <f t="shared" si="60"/>
        <v/>
      </c>
      <c r="H128" s="90" t="str">
        <f t="shared" si="60"/>
        <v/>
      </c>
      <c r="I128" s="90" t="str">
        <f t="shared" si="60"/>
        <v/>
      </c>
      <c r="J128" s="90" t="str">
        <f t="shared" si="60"/>
        <v/>
      </c>
      <c r="K128" s="90" t="str">
        <f t="shared" si="60"/>
        <v/>
      </c>
      <c r="L128" s="90" t="str">
        <f t="shared" si="60"/>
        <v/>
      </c>
      <c r="M128" s="90" t="str">
        <f t="shared" si="60"/>
        <v/>
      </c>
      <c r="N128" s="90" t="str">
        <f t="shared" si="60"/>
        <v/>
      </c>
    </row>
    <row r="129" spans="1:14" outlineLevel="1">
      <c r="B129" t="str">
        <f>Historicals!B191</f>
        <v>Other current assets</v>
      </c>
      <c r="C129" s="753" t="str">
        <f>Historicals!O225</f>
        <v/>
      </c>
      <c r="D129" s="90" t="str">
        <f t="shared" ref="D129:N129" si="61">IFERROR($C$129*D17,"")</f>
        <v/>
      </c>
      <c r="E129" s="90" t="str">
        <f t="shared" si="61"/>
        <v/>
      </c>
      <c r="F129" s="90" t="str">
        <f t="shared" si="61"/>
        <v/>
      </c>
      <c r="G129" s="90" t="str">
        <f t="shared" si="61"/>
        <v/>
      </c>
      <c r="H129" s="90" t="str">
        <f t="shared" si="61"/>
        <v/>
      </c>
      <c r="I129" s="90" t="str">
        <f t="shared" si="61"/>
        <v/>
      </c>
      <c r="J129" s="90" t="str">
        <f t="shared" si="61"/>
        <v/>
      </c>
      <c r="K129" s="90" t="str">
        <f t="shared" si="61"/>
        <v/>
      </c>
      <c r="L129" s="90" t="str">
        <f t="shared" si="61"/>
        <v/>
      </c>
      <c r="M129" s="90" t="str">
        <f t="shared" si="61"/>
        <v/>
      </c>
      <c r="N129" s="90" t="str">
        <f t="shared" si="61"/>
        <v/>
      </c>
    </row>
    <row r="130" spans="1:14" outlineLevel="1">
      <c r="B130" t="str">
        <f>Historicals!B192</f>
        <v>Other current liabilities</v>
      </c>
      <c r="C130" s="754" t="str">
        <f>Historicals!O226</f>
        <v/>
      </c>
      <c r="D130" s="90" t="str">
        <f t="shared" ref="D130:N130" si="62">IFERROR($C$130*D17,"")</f>
        <v/>
      </c>
      <c r="E130" s="90" t="str">
        <f t="shared" si="62"/>
        <v/>
      </c>
      <c r="F130" s="90" t="str">
        <f t="shared" si="62"/>
        <v/>
      </c>
      <c r="G130" s="90" t="str">
        <f t="shared" si="62"/>
        <v/>
      </c>
      <c r="H130" s="90" t="str">
        <f t="shared" si="62"/>
        <v/>
      </c>
      <c r="I130" s="90" t="str">
        <f t="shared" si="62"/>
        <v/>
      </c>
      <c r="J130" s="90" t="str">
        <f t="shared" si="62"/>
        <v/>
      </c>
      <c r="K130" s="90" t="str">
        <f t="shared" si="62"/>
        <v/>
      </c>
      <c r="L130" s="90" t="str">
        <f t="shared" si="62"/>
        <v/>
      </c>
      <c r="M130" s="90" t="str">
        <f t="shared" si="62"/>
        <v/>
      </c>
      <c r="N130" s="90" t="str">
        <f t="shared" si="62"/>
        <v/>
      </c>
    </row>
    <row r="131" spans="1:14" outlineLevel="1">
      <c r="B131" s="801" t="str">
        <f>Historicals!B193</f>
        <v>Net working capital</v>
      </c>
      <c r="C131" s="801"/>
      <c r="D131" s="788">
        <f>SUM(D126:D130)</f>
        <v>0</v>
      </c>
      <c r="E131" s="789">
        <f t="shared" ref="E131:N131" si="63">SUM(E126:E130)</f>
        <v>0</v>
      </c>
      <c r="F131" s="789">
        <f t="shared" si="63"/>
        <v>0</v>
      </c>
      <c r="G131" s="789">
        <f t="shared" si="63"/>
        <v>0</v>
      </c>
      <c r="H131" s="789">
        <f t="shared" si="63"/>
        <v>0</v>
      </c>
      <c r="I131" s="789">
        <f t="shared" si="63"/>
        <v>0</v>
      </c>
      <c r="J131" s="789">
        <f t="shared" si="63"/>
        <v>0</v>
      </c>
      <c r="K131" s="789">
        <f t="shared" si="63"/>
        <v>0</v>
      </c>
      <c r="L131" s="789">
        <f t="shared" si="63"/>
        <v>0</v>
      </c>
      <c r="M131" s="789">
        <f t="shared" si="63"/>
        <v>0</v>
      </c>
      <c r="N131" s="789">
        <f t="shared" si="63"/>
        <v>0</v>
      </c>
    </row>
    <row r="132" spans="1:14" ht="11" outlineLevel="1" thickBot="1">
      <c r="A132">
        <v>3</v>
      </c>
      <c r="B132" s="656" t="s">
        <v>470</v>
      </c>
      <c r="C132" s="659"/>
      <c r="D132" s="660">
        <f>IFERROR(Historicals!$N$162-D131,"")</f>
        <v>0</v>
      </c>
      <c r="E132" s="660">
        <f>IFERROR(D131-E131,"")</f>
        <v>0</v>
      </c>
      <c r="F132" s="660">
        <f t="shared" ref="F132" si="64">IFERROR(E131-F131,"")</f>
        <v>0</v>
      </c>
      <c r="G132" s="660">
        <f t="shared" ref="G132" si="65">IFERROR(F131-G131,"")</f>
        <v>0</v>
      </c>
      <c r="H132" s="660">
        <f t="shared" ref="H132" si="66">IFERROR(G131-H131,"")</f>
        <v>0</v>
      </c>
      <c r="I132" s="660">
        <f t="shared" ref="I132" si="67">IFERROR(H131-I131,"")</f>
        <v>0</v>
      </c>
      <c r="J132" s="660">
        <f t="shared" ref="J132" si="68">IFERROR(I131-J131,"")</f>
        <v>0</v>
      </c>
      <c r="K132" s="660">
        <f t="shared" ref="K132" si="69">IFERROR(J131-K131,"")</f>
        <v>0</v>
      </c>
      <c r="L132" s="660">
        <f t="shared" ref="L132" si="70">IFERROR(K131-L131,"")</f>
        <v>0</v>
      </c>
      <c r="M132" s="660">
        <f t="shared" ref="M132" si="71">IFERROR(L131-M131,"")</f>
        <v>0</v>
      </c>
      <c r="N132" s="660">
        <f t="shared" ref="N132" si="72">IFERROR(M131-N131,"")</f>
        <v>0</v>
      </c>
    </row>
    <row r="133" spans="1:14" outlineLevel="1">
      <c r="B133" s="791" t="s">
        <v>508</v>
      </c>
    </row>
  </sheetData>
  <conditionalFormatting sqref="B64">
    <cfRule type="cellIs" dxfId="144" priority="21" operator="equal">
      <formula>0</formula>
    </cfRule>
  </conditionalFormatting>
  <conditionalFormatting sqref="B76">
    <cfRule type="cellIs" dxfId="143" priority="25" operator="equal">
      <formula>0</formula>
    </cfRule>
  </conditionalFormatting>
  <conditionalFormatting sqref="B86">
    <cfRule type="cellIs" dxfId="142" priority="23" operator="equal">
      <formula>0</formula>
    </cfRule>
  </conditionalFormatting>
  <conditionalFormatting sqref="B94">
    <cfRule type="cellIs" dxfId="141" priority="7" operator="equal">
      <formula>0</formula>
    </cfRule>
  </conditionalFormatting>
  <conditionalFormatting sqref="B118">
    <cfRule type="cellIs" dxfId="140" priority="19" operator="equal">
      <formula>0</formula>
    </cfRule>
  </conditionalFormatting>
  <conditionalFormatting sqref="B125">
    <cfRule type="cellIs" dxfId="139" priority="14" operator="equal">
      <formula>0</formula>
    </cfRule>
  </conditionalFormatting>
  <conditionalFormatting sqref="B64:N64">
    <cfRule type="cellIs" dxfId="138" priority="22" operator="equal">
      <formula>"FYTEF"</formula>
    </cfRule>
  </conditionalFormatting>
  <conditionalFormatting sqref="B76:N76">
    <cfRule type="cellIs" dxfId="137" priority="26" operator="equal">
      <formula>"FYTEF"</formula>
    </cfRule>
  </conditionalFormatting>
  <conditionalFormatting sqref="B86:N86">
    <cfRule type="cellIs" dxfId="136" priority="24" operator="equal">
      <formula>"FYTEF"</formula>
    </cfRule>
  </conditionalFormatting>
  <conditionalFormatting sqref="B94:N94">
    <cfRule type="cellIs" dxfId="135" priority="6" operator="equal">
      <formula>"FYTEF"</formula>
    </cfRule>
  </conditionalFormatting>
  <conditionalFormatting sqref="B118:N118">
    <cfRule type="cellIs" dxfId="134" priority="18" operator="equal">
      <formula>"FYTEF"</formula>
    </cfRule>
  </conditionalFormatting>
  <conditionalFormatting sqref="B125:N125">
    <cfRule type="cellIs" dxfId="133" priority="13" operator="equal">
      <formula>"FYTEF"</formula>
    </cfRule>
  </conditionalFormatting>
  <conditionalFormatting sqref="C71">
    <cfRule type="cellIs" dxfId="132" priority="2" operator="equal">
      <formula>"FYTE"</formula>
    </cfRule>
  </conditionalFormatting>
  <conditionalFormatting sqref="C81">
    <cfRule type="cellIs" dxfId="131" priority="5" operator="equal">
      <formula>"FYTE"</formula>
    </cfRule>
  </conditionalFormatting>
  <conditionalFormatting sqref="C16:N16">
    <cfRule type="cellIs" dxfId="130" priority="50" operator="equal">
      <formula>"FYTEF"</formula>
    </cfRule>
  </conditionalFormatting>
  <conditionalFormatting sqref="C41:N41 C42">
    <cfRule type="cellIs" dxfId="129" priority="42" operator="equal">
      <formula>"FYTEF"</formula>
    </cfRule>
  </conditionalFormatting>
  <conditionalFormatting sqref="C72:N72">
    <cfRule type="cellIs" dxfId="128" priority="1" operator="equal">
      <formula>"FYTE"</formula>
    </cfRule>
  </conditionalFormatting>
  <conditionalFormatting sqref="C82:N82">
    <cfRule type="cellIs" dxfId="127" priority="4" operator="equal">
      <formula>"FYTE"</formula>
    </cfRule>
  </conditionalFormatting>
  <conditionalFormatting sqref="D13">
    <cfRule type="cellIs" dxfId="126" priority="46" operator="equal">
      <formula>"N"</formula>
    </cfRule>
    <cfRule type="cellIs" dxfId="125" priority="47" operator="equal">
      <formula>"Y"</formula>
    </cfRule>
  </conditionalFormatting>
  <conditionalFormatting sqref="D16:N16">
    <cfRule type="cellIs" dxfId="124" priority="43" operator="equal">
      <formula>0</formula>
    </cfRule>
  </conditionalFormatting>
  <conditionalFormatting sqref="D38:N38">
    <cfRule type="cellIs" dxfId="123" priority="44" operator="notEqual">
      <formula>0</formula>
    </cfRule>
    <cfRule type="cellIs" dxfId="122" priority="45" operator="equal">
      <formula>0</formula>
    </cfRule>
  </conditionalFormatting>
  <conditionalFormatting sqref="D41:N41">
    <cfRule type="cellIs" dxfId="121" priority="41" operator="equal">
      <formula>0</formula>
    </cfRule>
  </conditionalFormatting>
  <conditionalFormatting sqref="D64:N64">
    <cfRule type="cellIs" dxfId="120" priority="29" operator="equal">
      <formula>0</formula>
    </cfRule>
  </conditionalFormatting>
  <conditionalFormatting sqref="D76:N76">
    <cfRule type="cellIs" dxfId="119" priority="33" operator="equal">
      <formula>0</formula>
    </cfRule>
  </conditionalFormatting>
  <conditionalFormatting sqref="D86:N86">
    <cfRule type="cellIs" dxfId="118" priority="31" operator="equal">
      <formula>0</formula>
    </cfRule>
  </conditionalFormatting>
  <conditionalFormatting sqref="D94:N94">
    <cfRule type="cellIs" dxfId="117" priority="9" operator="equal">
      <formula>0</formula>
    </cfRule>
  </conditionalFormatting>
  <conditionalFormatting sqref="D118:N118">
    <cfRule type="cellIs" dxfId="116" priority="27" operator="equal">
      <formula>0</formula>
    </cfRule>
  </conditionalFormatting>
  <conditionalFormatting sqref="D125:N125">
    <cfRule type="cellIs" dxfId="115" priority="16" operator="equal">
      <formula>0</formula>
    </cfRule>
  </conditionalFormatting>
  <dataValidations count="1">
    <dataValidation type="list" allowBlank="1" showInputMessage="1" showErrorMessage="1" sqref="C57:C58" xr:uid="{C8B19EC2-45EA-424A-83AC-E5F450F8839B}">
      <formula1>"1,2,3"</formula1>
    </dataValidation>
  </dataValidations>
  <pageMargins left="0.7" right="0.7" top="0.75" bottom="0.75" header="0.3" footer="0.3"/>
  <pageSetup orientation="portrait" r:id="rId1"/>
  <ignoredErrors>
    <ignoredError sqref="C77 C126 C119 C129:C130 C87" unlocked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67CC6-2F90-416C-8E82-C3DC62F95616}">
  <sheetPr>
    <tabColor rgb="FF0A1F8F"/>
  </sheetPr>
  <dimension ref="B1:Z57"/>
  <sheetViews>
    <sheetView showGridLines="0" zoomScale="70" zoomScaleNormal="70" workbookViewId="0">
      <selection activeCell="J39" sqref="J39"/>
    </sheetView>
  </sheetViews>
  <sheetFormatPr defaultRowHeight="10"/>
  <cols>
    <col min="1" max="1" width="1.44140625" customWidth="1"/>
    <col min="2" max="2" width="40" customWidth="1"/>
    <col min="3" max="3" width="12.109375" bestFit="1" customWidth="1"/>
    <col min="4" max="4" width="22.6640625" customWidth="1"/>
    <col min="5" max="11" width="12.109375" bestFit="1" customWidth="1"/>
    <col min="12" max="12" width="12.44140625" bestFit="1" customWidth="1"/>
    <col min="13" max="13" width="12.109375" bestFit="1" customWidth="1"/>
    <col min="14" max="14" width="17.6640625" customWidth="1"/>
    <col min="15" max="19" width="9" bestFit="1" customWidth="1"/>
    <col min="20" max="20" width="11.6640625" bestFit="1" customWidth="1"/>
    <col min="21" max="21" width="9" bestFit="1" customWidth="1"/>
    <col min="22" max="22" width="8.6640625" bestFit="1" customWidth="1"/>
    <col min="23" max="25" width="9" bestFit="1" customWidth="1"/>
    <col min="26" max="26" width="28.109375" customWidth="1"/>
  </cols>
  <sheetData>
    <row r="1" spans="2:26" ht="12">
      <c r="B1" s="762" t="str">
        <f>"("&amp;curr&amp;" "&amp;Input!D8&amp;")"</f>
        <v>(USD k)</v>
      </c>
      <c r="C1" s="419" t="str">
        <f>Historicals!D15</f>
        <v>FYTE</v>
      </c>
      <c r="D1" s="419" t="str">
        <f>Historicals!E15</f>
        <v>FYTE</v>
      </c>
      <c r="E1" s="419" t="str">
        <f>Historicals!F15</f>
        <v>FYTE</v>
      </c>
      <c r="F1" s="419" t="str">
        <f>Historicals!G15</f>
        <v>FYTE</v>
      </c>
      <c r="G1" s="419" t="str">
        <f>Historicals!H15</f>
        <v>FYTE</v>
      </c>
      <c r="H1" s="419" t="str">
        <f>Historicals!I15</f>
        <v>FYTE</v>
      </c>
      <c r="I1" s="419" t="str">
        <f>Historicals!J15</f>
        <v>FY21</v>
      </c>
      <c r="J1" s="419" t="str">
        <f>Historicals!K15</f>
        <v>FY22</v>
      </c>
      <c r="K1" s="419" t="str">
        <f>Historicals!L15</f>
        <v>FY23</v>
      </c>
      <c r="L1" s="419" t="str">
        <f>Historicals!M15</f>
        <v>FY24</v>
      </c>
      <c r="M1" s="419" t="str">
        <f>Historicals!N15</f>
        <v>FY25</v>
      </c>
      <c r="N1" s="760" t="s">
        <v>541</v>
      </c>
      <c r="O1" s="419" t="str">
        <f>Forecast!D16</f>
        <v>FY26F</v>
      </c>
      <c r="P1" s="419" t="str">
        <f>Forecast!E16</f>
        <v>FY27F</v>
      </c>
      <c r="Q1" s="419" t="str">
        <f>Forecast!F16</f>
        <v>FY28F</v>
      </c>
      <c r="R1" s="419" t="str">
        <f>Forecast!G16</f>
        <v>FY29F</v>
      </c>
      <c r="S1" s="419" t="str">
        <f>Forecast!H16</f>
        <v>FY30F</v>
      </c>
      <c r="T1" s="419" t="str">
        <f>Forecast!I16</f>
        <v>FYTEF</v>
      </c>
      <c r="U1" s="419" t="str">
        <f>Forecast!J16</f>
        <v>FYTEF</v>
      </c>
      <c r="V1" s="419" t="str">
        <f>Forecast!K16</f>
        <v>FYTEF</v>
      </c>
      <c r="W1" s="419" t="str">
        <f>Forecast!L16</f>
        <v>FYTEF</v>
      </c>
      <c r="X1" s="419" t="str">
        <f>Forecast!M16</f>
        <v>FYTEF</v>
      </c>
      <c r="Y1" s="419" t="str">
        <f>Forecast!N16</f>
        <v>FYTEF</v>
      </c>
      <c r="Z1" s="760" t="s">
        <v>543</v>
      </c>
    </row>
    <row r="2" spans="2:26">
      <c r="B2" t="str">
        <f>"Historical " &amp; B43</f>
        <v>Historical Revenue</v>
      </c>
      <c r="C2" s="422">
        <f>Historicals!D16</f>
        <v>0</v>
      </c>
      <c r="D2" s="422">
        <f>Historicals!E16</f>
        <v>0</v>
      </c>
      <c r="E2" s="422">
        <f>Historicals!F16</f>
        <v>0</v>
      </c>
      <c r="F2" s="422">
        <f>Historicals!G16</f>
        <v>0</v>
      </c>
      <c r="G2" s="422">
        <f>Historicals!H16</f>
        <v>0</v>
      </c>
      <c r="H2" s="422">
        <f>Historicals!I16</f>
        <v>0</v>
      </c>
      <c r="I2" s="422">
        <f>Historicals!J16</f>
        <v>0</v>
      </c>
      <c r="J2" s="422">
        <f>Historicals!K16</f>
        <v>0</v>
      </c>
      <c r="K2" s="422">
        <f>Historicals!L16</f>
        <v>0</v>
      </c>
      <c r="L2" s="422">
        <f>Historicals!M16</f>
        <v>0</v>
      </c>
      <c r="M2" s="422">
        <f>Historicals!N16</f>
        <v>0</v>
      </c>
      <c r="N2" s="803"/>
      <c r="O2" s="90"/>
      <c r="P2" s="90"/>
      <c r="Q2" s="90"/>
      <c r="R2" s="90"/>
      <c r="S2" s="90"/>
      <c r="T2" s="90"/>
      <c r="U2" s="90"/>
      <c r="V2" s="90"/>
      <c r="W2" s="90"/>
      <c r="X2" s="90"/>
      <c r="Y2" s="90"/>
      <c r="Z2" s="803"/>
    </row>
    <row r="3" spans="2:26" ht="10.5">
      <c r="B3" t="str">
        <f>"Forecast " &amp; B43</f>
        <v>Forecast Revenue</v>
      </c>
      <c r="C3" s="422"/>
      <c r="D3" s="422"/>
      <c r="E3" s="422"/>
      <c r="F3" s="422"/>
      <c r="G3" s="422"/>
      <c r="H3" s="422"/>
      <c r="I3" s="422"/>
      <c r="J3" s="422"/>
      <c r="K3" s="422"/>
      <c r="L3" s="422"/>
      <c r="M3" s="422"/>
      <c r="N3" s="803"/>
      <c r="O3" s="423">
        <f>Forecast!D17</f>
        <v>0</v>
      </c>
      <c r="P3" s="423">
        <f>Forecast!E17</f>
        <v>0</v>
      </c>
      <c r="Q3" s="423">
        <f>Forecast!F17</f>
        <v>0</v>
      </c>
      <c r="R3" s="423">
        <f>Forecast!G17</f>
        <v>0</v>
      </c>
      <c r="S3" s="423">
        <f>Forecast!H17</f>
        <v>0</v>
      </c>
      <c r="T3" s="423">
        <f>Forecast!I17</f>
        <v>0</v>
      </c>
      <c r="U3" s="423">
        <f>Forecast!J17</f>
        <v>0</v>
      </c>
      <c r="V3" s="423">
        <f>Forecast!K17</f>
        <v>0</v>
      </c>
      <c r="W3" s="423">
        <f>Forecast!L17</f>
        <v>0</v>
      </c>
      <c r="X3" s="423">
        <f>Forecast!M17</f>
        <v>0</v>
      </c>
      <c r="Y3" s="423">
        <f>Forecast!N17</f>
        <v>0</v>
      </c>
      <c r="Z3" s="827" t="e">
        <f>(S3/M2)^(1/5)-1</f>
        <v>#DIV/0!</v>
      </c>
    </row>
    <row r="4" spans="2:26" ht="12">
      <c r="B4" s="808" t="str">
        <f>B43 &amp; " YoY Growth %"</f>
        <v>Revenue YoY Growth %</v>
      </c>
      <c r="C4" s="809" t="str">
        <f>Historicals!D51</f>
        <v/>
      </c>
      <c r="D4" s="809" t="str">
        <f>Historicals!E51</f>
        <v/>
      </c>
      <c r="E4" s="809" t="str">
        <f>Historicals!F51</f>
        <v/>
      </c>
      <c r="F4" s="809" t="str">
        <f>Historicals!G51</f>
        <v/>
      </c>
      <c r="G4" s="809" t="str">
        <f>Historicals!H51</f>
        <v/>
      </c>
      <c r="H4" s="809" t="str">
        <f>Historicals!I51</f>
        <v/>
      </c>
      <c r="I4" s="809" t="str">
        <f>Historicals!J51</f>
        <v/>
      </c>
      <c r="J4" s="809" t="str">
        <f>Historicals!K51</f>
        <v/>
      </c>
      <c r="K4" s="809" t="str">
        <f>Historicals!L51</f>
        <v/>
      </c>
      <c r="L4" s="809" t="str">
        <f>Historicals!M51</f>
        <v/>
      </c>
      <c r="M4" s="809" t="str">
        <f>Historicals!N51</f>
        <v/>
      </c>
      <c r="N4" s="810" t="str">
        <f>Historicals!O51</f>
        <v/>
      </c>
      <c r="O4" s="809" t="str">
        <f>Forecast!D43</f>
        <v/>
      </c>
      <c r="P4" s="809" t="str">
        <f>Forecast!E43</f>
        <v/>
      </c>
      <c r="Q4" s="809" t="str">
        <f>Forecast!F43</f>
        <v/>
      </c>
      <c r="R4" s="809" t="str">
        <f>Forecast!G43</f>
        <v/>
      </c>
      <c r="S4" s="809" t="str">
        <f>Forecast!H43</f>
        <v/>
      </c>
      <c r="T4" s="809" t="str">
        <f>Forecast!I43</f>
        <v/>
      </c>
      <c r="U4" s="809" t="str">
        <f>Forecast!J43</f>
        <v/>
      </c>
      <c r="V4" s="809" t="str">
        <f>Forecast!K43</f>
        <v/>
      </c>
      <c r="W4" s="809" t="str">
        <f>Forecast!L43</f>
        <v/>
      </c>
      <c r="X4" s="809" t="str">
        <f>Forecast!M43</f>
        <v/>
      </c>
      <c r="Y4" s="809" t="str">
        <f>Forecast!N43</f>
        <v/>
      </c>
      <c r="Z4" s="828"/>
    </row>
    <row r="5" spans="2:26" ht="10.5">
      <c r="B5" t="str">
        <f>"Historical " &amp; B44</f>
        <v>Historical Gross Profit</v>
      </c>
      <c r="C5" s="422">
        <f>Historicals!D23</f>
        <v>0</v>
      </c>
      <c r="D5" s="422">
        <f>Historicals!E23</f>
        <v>0</v>
      </c>
      <c r="E5" s="422">
        <f>Historicals!F23</f>
        <v>0</v>
      </c>
      <c r="F5" s="422">
        <f>Historicals!G23</f>
        <v>0</v>
      </c>
      <c r="G5" s="422">
        <f>Historicals!H23</f>
        <v>0</v>
      </c>
      <c r="H5" s="422">
        <f>Historicals!I23</f>
        <v>0</v>
      </c>
      <c r="I5" s="422">
        <f>Historicals!J23</f>
        <v>0</v>
      </c>
      <c r="J5" s="422">
        <f>Historicals!K23</f>
        <v>0</v>
      </c>
      <c r="K5" s="422">
        <f>Historicals!L23</f>
        <v>0</v>
      </c>
      <c r="L5" s="422">
        <f>Historicals!M23</f>
        <v>0</v>
      </c>
      <c r="M5" s="422">
        <f>Historicals!N23</f>
        <v>0</v>
      </c>
      <c r="N5" s="803"/>
      <c r="O5" s="90"/>
      <c r="P5" s="90"/>
      <c r="Q5" s="90"/>
      <c r="R5" s="90"/>
      <c r="S5" s="90"/>
      <c r="T5" s="90"/>
      <c r="U5" s="90"/>
      <c r="V5" s="90"/>
      <c r="W5" s="90"/>
      <c r="X5" s="90"/>
      <c r="Y5" s="90"/>
      <c r="Z5" s="829"/>
    </row>
    <row r="6" spans="2:26" ht="10.5">
      <c r="B6" t="str">
        <f>"Forecast " &amp; B44</f>
        <v>Forecast Gross Profit</v>
      </c>
      <c r="C6" s="422"/>
      <c r="D6" s="422"/>
      <c r="E6" s="422"/>
      <c r="F6" s="422"/>
      <c r="G6" s="422"/>
      <c r="H6" s="422"/>
      <c r="I6" s="422"/>
      <c r="J6" s="422"/>
      <c r="K6" s="422"/>
      <c r="L6" s="422"/>
      <c r="M6" s="422"/>
      <c r="N6" s="803"/>
      <c r="O6" s="423">
        <f>Forecast!D24</f>
        <v>0</v>
      </c>
      <c r="P6" s="423">
        <f>Forecast!E24</f>
        <v>0</v>
      </c>
      <c r="Q6" s="423">
        <f>Forecast!F24</f>
        <v>0</v>
      </c>
      <c r="R6" s="423">
        <f>Forecast!G24</f>
        <v>0</v>
      </c>
      <c r="S6" s="423">
        <f>Forecast!H24</f>
        <v>0</v>
      </c>
      <c r="T6" s="423">
        <f>Forecast!I24</f>
        <v>0</v>
      </c>
      <c r="U6" s="423">
        <f>Forecast!J24</f>
        <v>0</v>
      </c>
      <c r="V6" s="423">
        <f>Forecast!K24</f>
        <v>0</v>
      </c>
      <c r="W6" s="423">
        <f>Forecast!L24</f>
        <v>0</v>
      </c>
      <c r="X6" s="423">
        <f>Forecast!M24</f>
        <v>0</v>
      </c>
      <c r="Y6" s="423">
        <f>Forecast!N24</f>
        <v>0</v>
      </c>
      <c r="Z6" s="827" t="e">
        <f>(S6/M5)^(1/5)-1</f>
        <v>#DIV/0!</v>
      </c>
    </row>
    <row r="7" spans="2:26" ht="12">
      <c r="B7" s="808" t="str">
        <f>B44 &amp; " Margin"</f>
        <v>Gross Profit Margin</v>
      </c>
      <c r="C7" s="809" t="str">
        <f>Historicals!D61</f>
        <v/>
      </c>
      <c r="D7" s="809" t="str">
        <f>Historicals!E61</f>
        <v/>
      </c>
      <c r="E7" s="809" t="str">
        <f>Historicals!F61</f>
        <v/>
      </c>
      <c r="F7" s="809" t="str">
        <f>Historicals!G61</f>
        <v/>
      </c>
      <c r="G7" s="809" t="str">
        <f>Historicals!H61</f>
        <v/>
      </c>
      <c r="H7" s="809" t="str">
        <f>Historicals!I61</f>
        <v/>
      </c>
      <c r="I7" s="809" t="str">
        <f>Historicals!J61</f>
        <v/>
      </c>
      <c r="J7" s="809" t="str">
        <f>Historicals!K61</f>
        <v/>
      </c>
      <c r="K7" s="809" t="str">
        <f>Historicals!L61</f>
        <v/>
      </c>
      <c r="L7" s="809" t="str">
        <f>Historicals!M61</f>
        <v/>
      </c>
      <c r="M7" s="809" t="str">
        <f>Historicals!N61</f>
        <v/>
      </c>
      <c r="N7" s="810" t="str">
        <f>Historicals!O61</f>
        <v/>
      </c>
      <c r="O7" s="809" t="str">
        <f>Forecast!D52</f>
        <v/>
      </c>
      <c r="P7" s="809" t="str">
        <f>Forecast!E52</f>
        <v/>
      </c>
      <c r="Q7" s="809" t="str">
        <f>Forecast!F52</f>
        <v/>
      </c>
      <c r="R7" s="809" t="str">
        <f>Forecast!G52</f>
        <v/>
      </c>
      <c r="S7" s="809" t="str">
        <f>Forecast!H52</f>
        <v/>
      </c>
      <c r="T7" s="809" t="str">
        <f>Forecast!I52</f>
        <v/>
      </c>
      <c r="U7" s="809" t="str">
        <f>Forecast!J52</f>
        <v/>
      </c>
      <c r="V7" s="809" t="str">
        <f>Forecast!K52</f>
        <v/>
      </c>
      <c r="W7" s="809" t="str">
        <f>Forecast!L52</f>
        <v/>
      </c>
      <c r="X7" s="809" t="str">
        <f>Forecast!M52</f>
        <v/>
      </c>
      <c r="Y7" s="809" t="str">
        <f>Forecast!N52</f>
        <v/>
      </c>
      <c r="Z7" s="828"/>
    </row>
    <row r="8" spans="2:26" ht="10.5">
      <c r="B8" t="str">
        <f>"Historical " &amp; B45</f>
        <v xml:space="preserve">Historical [Selling &amp; marketing] </v>
      </c>
      <c r="C8" s="90">
        <f>Historicals!D25</f>
        <v>0</v>
      </c>
      <c r="D8" s="90">
        <f>Historicals!E25</f>
        <v>0</v>
      </c>
      <c r="E8" s="90">
        <f>Historicals!F25</f>
        <v>0</v>
      </c>
      <c r="F8" s="90">
        <f>Historicals!G25</f>
        <v>0</v>
      </c>
      <c r="G8" s="90">
        <f>Historicals!H25</f>
        <v>0</v>
      </c>
      <c r="H8" s="90">
        <f>Historicals!I25</f>
        <v>0</v>
      </c>
      <c r="I8" s="90">
        <f>Historicals!J25</f>
        <v>0</v>
      </c>
      <c r="J8" s="90">
        <f>Historicals!K25</f>
        <v>0</v>
      </c>
      <c r="K8" s="90">
        <f>Historicals!L25</f>
        <v>0</v>
      </c>
      <c r="L8" s="90">
        <f>Historicals!M25</f>
        <v>0</v>
      </c>
      <c r="M8" s="90">
        <f>Historicals!N25</f>
        <v>0</v>
      </c>
      <c r="N8" s="804"/>
      <c r="O8" s="90"/>
      <c r="P8" s="90"/>
      <c r="Q8" s="90"/>
      <c r="R8" s="90"/>
      <c r="S8" s="90"/>
      <c r="T8" s="90"/>
      <c r="U8" s="90"/>
      <c r="V8" s="90"/>
      <c r="W8" s="90"/>
      <c r="X8" s="90"/>
      <c r="Y8" s="90"/>
      <c r="Z8" s="830"/>
    </row>
    <row r="9" spans="2:26" ht="10.5">
      <c r="B9" t="str">
        <f>"Forecast " &amp; B45</f>
        <v xml:space="preserve">Forecast [Selling &amp; marketing] </v>
      </c>
      <c r="C9" s="90"/>
      <c r="D9" s="90"/>
      <c r="E9" s="90"/>
      <c r="F9" s="90"/>
      <c r="G9" s="90"/>
      <c r="H9" s="90"/>
      <c r="I9" s="90"/>
      <c r="J9" s="90"/>
      <c r="K9" s="90"/>
      <c r="L9" s="90"/>
      <c r="M9" s="90"/>
      <c r="N9" s="804"/>
      <c r="O9" s="90">
        <f>Forecast!D26</f>
        <v>0</v>
      </c>
      <c r="P9" s="90">
        <f>Forecast!E26</f>
        <v>0</v>
      </c>
      <c r="Q9" s="90">
        <f>Forecast!F26</f>
        <v>0</v>
      </c>
      <c r="R9" s="90">
        <f>Forecast!G26</f>
        <v>0</v>
      </c>
      <c r="S9" s="90">
        <f>Forecast!H26</f>
        <v>0</v>
      </c>
      <c r="T9" s="90">
        <f>Forecast!I26</f>
        <v>0</v>
      </c>
      <c r="U9" s="90">
        <f>Forecast!J26</f>
        <v>0</v>
      </c>
      <c r="V9" s="90">
        <f>Forecast!K26</f>
        <v>0</v>
      </c>
      <c r="W9" s="90">
        <f>Forecast!L26</f>
        <v>0</v>
      </c>
      <c r="X9" s="90">
        <f>Forecast!M26</f>
        <v>0</v>
      </c>
      <c r="Y9" s="90">
        <f>Forecast!N26</f>
        <v>0</v>
      </c>
      <c r="Z9" s="827" t="e">
        <f>(S9/M8)^(1/5)-1</f>
        <v>#DIV/0!</v>
      </c>
    </row>
    <row r="10" spans="2:26" ht="12">
      <c r="B10" s="808" t="str">
        <f>B45 &amp; "as a % of revenue"</f>
        <v>[Selling &amp; marketing] as a % of revenue</v>
      </c>
      <c r="C10" s="809" t="str">
        <f>Historicals!D60</f>
        <v/>
      </c>
      <c r="D10" s="809" t="str">
        <f>Historicals!E60</f>
        <v/>
      </c>
      <c r="E10" s="809" t="str">
        <f>Historicals!F60</f>
        <v/>
      </c>
      <c r="F10" s="809" t="str">
        <f>Historicals!G60</f>
        <v/>
      </c>
      <c r="G10" s="809" t="str">
        <f>Historicals!H60</f>
        <v/>
      </c>
      <c r="H10" s="809" t="str">
        <f>Historicals!I60</f>
        <v/>
      </c>
      <c r="I10" s="809" t="str">
        <f>Historicals!J60</f>
        <v/>
      </c>
      <c r="J10" s="809" t="str">
        <f>Historicals!K60</f>
        <v/>
      </c>
      <c r="K10" s="809" t="str">
        <f>Historicals!L60</f>
        <v/>
      </c>
      <c r="L10" s="809" t="str">
        <f>Historicals!M60</f>
        <v/>
      </c>
      <c r="M10" s="809" t="str">
        <f>Historicals!N60</f>
        <v/>
      </c>
      <c r="N10" s="810" t="str">
        <f>Historicals!O60</f>
        <v/>
      </c>
      <c r="O10" s="809" t="str">
        <f>Forecast!D51</f>
        <v/>
      </c>
      <c r="P10" s="809" t="str">
        <f>Forecast!E51</f>
        <v/>
      </c>
      <c r="Q10" s="809" t="str">
        <f>Forecast!F51</f>
        <v/>
      </c>
      <c r="R10" s="809" t="str">
        <f>Forecast!G51</f>
        <v/>
      </c>
      <c r="S10" s="809" t="str">
        <f>Forecast!H51</f>
        <v/>
      </c>
      <c r="T10" s="809" t="str">
        <f>Forecast!I51</f>
        <v/>
      </c>
      <c r="U10" s="809" t="str">
        <f>Forecast!J51</f>
        <v/>
      </c>
      <c r="V10" s="809" t="str">
        <f>Forecast!K51</f>
        <v/>
      </c>
      <c r="W10" s="809" t="str">
        <f>Forecast!L51</f>
        <v/>
      </c>
      <c r="X10" s="809" t="str">
        <f>Forecast!M51</f>
        <v/>
      </c>
      <c r="Y10" s="809" t="str">
        <f>Forecast!N51</f>
        <v/>
      </c>
      <c r="Z10" s="828"/>
    </row>
    <row r="11" spans="2:26" ht="10.5">
      <c r="B11" t="str">
        <f>"Historical " &amp; B46</f>
        <v>Historical [Salary &amp; wages]</v>
      </c>
      <c r="C11" s="90">
        <f>Historicals!D26</f>
        <v>0</v>
      </c>
      <c r="D11" s="90">
        <f>Historicals!E26</f>
        <v>0</v>
      </c>
      <c r="E11" s="90">
        <f>Historicals!F26</f>
        <v>0</v>
      </c>
      <c r="F11" s="90">
        <f>Historicals!G26</f>
        <v>0</v>
      </c>
      <c r="G11" s="90">
        <f>Historicals!H26</f>
        <v>0</v>
      </c>
      <c r="H11" s="90">
        <f>Historicals!I26</f>
        <v>0</v>
      </c>
      <c r="I11" s="90">
        <f>Historicals!J26</f>
        <v>0</v>
      </c>
      <c r="J11" s="90">
        <f>Historicals!K26</f>
        <v>0</v>
      </c>
      <c r="K11" s="90">
        <f>Historicals!L26</f>
        <v>0</v>
      </c>
      <c r="L11" s="90">
        <f>Historicals!M26</f>
        <v>0</v>
      </c>
      <c r="M11" s="90">
        <f>Historicals!N26</f>
        <v>0</v>
      </c>
      <c r="N11" s="804"/>
      <c r="O11" s="90"/>
      <c r="P11" s="90"/>
      <c r="Q11" s="90"/>
      <c r="R11" s="90"/>
      <c r="S11" s="90"/>
      <c r="T11" s="90"/>
      <c r="U11" s="90"/>
      <c r="V11" s="90"/>
      <c r="W11" s="90"/>
      <c r="X11" s="90"/>
      <c r="Y11" s="90"/>
      <c r="Z11" s="830"/>
    </row>
    <row r="12" spans="2:26" ht="10.5">
      <c r="B12" t="str">
        <f>"Forecast " &amp; B46</f>
        <v>Forecast [Salary &amp; wages]</v>
      </c>
      <c r="C12" s="90"/>
      <c r="D12" s="90"/>
      <c r="E12" s="90"/>
      <c r="F12" s="90"/>
      <c r="G12" s="90"/>
      <c r="H12" s="90"/>
      <c r="I12" s="90"/>
      <c r="J12" s="90"/>
      <c r="K12" s="90"/>
      <c r="L12" s="90"/>
      <c r="M12" s="90"/>
      <c r="N12" s="804"/>
      <c r="O12" s="90">
        <f>Forecast!D27</f>
        <v>0</v>
      </c>
      <c r="P12" s="90">
        <f>Forecast!E27</f>
        <v>0</v>
      </c>
      <c r="Q12" s="90">
        <f>Forecast!F27</f>
        <v>0</v>
      </c>
      <c r="R12" s="90">
        <f>Forecast!G27</f>
        <v>0</v>
      </c>
      <c r="S12" s="90">
        <f>Forecast!H27</f>
        <v>0</v>
      </c>
      <c r="T12" s="90">
        <f>Forecast!I27</f>
        <v>0</v>
      </c>
      <c r="U12" s="90">
        <f>Forecast!J27</f>
        <v>0</v>
      </c>
      <c r="V12" s="90">
        <f>Forecast!K27</f>
        <v>0</v>
      </c>
      <c r="W12" s="90">
        <f>Forecast!L27</f>
        <v>0</v>
      </c>
      <c r="X12" s="90">
        <f>Forecast!M27</f>
        <v>0</v>
      </c>
      <c r="Y12" s="90">
        <f>Forecast!N27</f>
        <v>0</v>
      </c>
      <c r="Z12" s="827" t="e">
        <f>(S12/M11)^(1/5)-1</f>
        <v>#DIV/0!</v>
      </c>
    </row>
    <row r="13" spans="2:26" ht="12">
      <c r="B13" s="808" t="str">
        <f>B46 &amp; " YoY Growth %"</f>
        <v>[Salary &amp; wages] YoY Growth %</v>
      </c>
      <c r="C13" s="809">
        <f>Historicals!D53</f>
        <v>0</v>
      </c>
      <c r="D13" s="809" t="str">
        <f>Historicals!E53</f>
        <v/>
      </c>
      <c r="E13" s="809" t="str">
        <f>Historicals!F53</f>
        <v/>
      </c>
      <c r="F13" s="809" t="str">
        <f>Historicals!G53</f>
        <v/>
      </c>
      <c r="G13" s="809" t="str">
        <f>Historicals!H53</f>
        <v/>
      </c>
      <c r="H13" s="809" t="str">
        <f>Historicals!I53</f>
        <v/>
      </c>
      <c r="I13" s="809" t="str">
        <f>Historicals!J53</f>
        <v/>
      </c>
      <c r="J13" s="809" t="str">
        <f>Historicals!K53</f>
        <v/>
      </c>
      <c r="K13" s="809" t="str">
        <f>Historicals!L53</f>
        <v/>
      </c>
      <c r="L13" s="809" t="str">
        <f>Historicals!M53</f>
        <v/>
      </c>
      <c r="M13" s="809" t="str">
        <f>Historicals!N53</f>
        <v/>
      </c>
      <c r="N13" s="810" t="str">
        <f>Historicals!O53</f>
        <v/>
      </c>
      <c r="O13" s="809" t="str">
        <f>Forecast!D45</f>
        <v/>
      </c>
      <c r="P13" s="809" t="str">
        <f>Forecast!E45</f>
        <v/>
      </c>
      <c r="Q13" s="809" t="str">
        <f>Forecast!F45</f>
        <v/>
      </c>
      <c r="R13" s="809" t="str">
        <f>Forecast!G45</f>
        <v/>
      </c>
      <c r="S13" s="809" t="str">
        <f>Forecast!H45</f>
        <v/>
      </c>
      <c r="T13" s="809" t="str">
        <f>Forecast!I45</f>
        <v/>
      </c>
      <c r="U13" s="809" t="str">
        <f>Forecast!J45</f>
        <v/>
      </c>
      <c r="V13" s="809" t="str">
        <f>Forecast!K45</f>
        <v/>
      </c>
      <c r="W13" s="809" t="str">
        <f>Forecast!L45</f>
        <v/>
      </c>
      <c r="X13" s="809" t="str">
        <f>Forecast!M45</f>
        <v/>
      </c>
      <c r="Y13" s="809" t="str">
        <f>Forecast!N45</f>
        <v/>
      </c>
      <c r="Z13" s="828"/>
    </row>
    <row r="14" spans="2:26" ht="10.5">
      <c r="B14" t="str">
        <f>"Historical " &amp; B47</f>
        <v>Historical [General &amp; Admin expenses]</v>
      </c>
      <c r="C14" s="90">
        <f>Historicals!D27</f>
        <v>0</v>
      </c>
      <c r="D14" s="90">
        <f>Historicals!E27</f>
        <v>0</v>
      </c>
      <c r="E14" s="90">
        <f>Historicals!F27</f>
        <v>0</v>
      </c>
      <c r="F14" s="90">
        <f>Historicals!G27</f>
        <v>0</v>
      </c>
      <c r="G14" s="90">
        <f>Historicals!H27</f>
        <v>0</v>
      </c>
      <c r="H14" s="90">
        <f>Historicals!I27</f>
        <v>0</v>
      </c>
      <c r="I14" s="90">
        <f>Historicals!J27</f>
        <v>0</v>
      </c>
      <c r="J14" s="90">
        <f>Historicals!K27</f>
        <v>0</v>
      </c>
      <c r="K14" s="90">
        <f>Historicals!L27</f>
        <v>0</v>
      </c>
      <c r="L14" s="90">
        <f>Historicals!M27</f>
        <v>0</v>
      </c>
      <c r="M14" s="90">
        <f>Historicals!N27</f>
        <v>0</v>
      </c>
      <c r="N14" s="804"/>
      <c r="O14" s="90"/>
      <c r="P14" s="90"/>
      <c r="Q14" s="90"/>
      <c r="R14" s="90"/>
      <c r="S14" s="90"/>
      <c r="T14" s="90"/>
      <c r="U14" s="90"/>
      <c r="V14" s="90"/>
      <c r="W14" s="90"/>
      <c r="X14" s="90"/>
      <c r="Y14" s="90"/>
      <c r="Z14" s="830"/>
    </row>
    <row r="15" spans="2:26" ht="10.5">
      <c r="B15" t="str">
        <f>"Forecast " &amp; B47</f>
        <v>Forecast [General &amp; Admin expenses]</v>
      </c>
      <c r="C15" s="90"/>
      <c r="D15" s="90"/>
      <c r="E15" s="90"/>
      <c r="F15" s="90"/>
      <c r="G15" s="90"/>
      <c r="H15" s="90"/>
      <c r="I15" s="90"/>
      <c r="J15" s="90"/>
      <c r="K15" s="90"/>
      <c r="L15" s="90"/>
      <c r="M15" s="90"/>
      <c r="N15" s="804"/>
      <c r="O15" s="90">
        <f>Forecast!D28</f>
        <v>0</v>
      </c>
      <c r="P15" s="90">
        <f>Forecast!E28</f>
        <v>0</v>
      </c>
      <c r="Q15" s="90">
        <f>Forecast!F28</f>
        <v>0</v>
      </c>
      <c r="R15" s="90">
        <f>Forecast!G28</f>
        <v>0</v>
      </c>
      <c r="S15" s="90">
        <f>Forecast!H28</f>
        <v>0</v>
      </c>
      <c r="T15" s="90">
        <f>Forecast!I28</f>
        <v>0</v>
      </c>
      <c r="U15" s="90">
        <f>Forecast!J28</f>
        <v>0</v>
      </c>
      <c r="V15" s="90">
        <f>Forecast!K28</f>
        <v>0</v>
      </c>
      <c r="W15" s="90">
        <f>Forecast!L28</f>
        <v>0</v>
      </c>
      <c r="X15" s="90">
        <f>Forecast!M28</f>
        <v>0</v>
      </c>
      <c r="Y15" s="90">
        <f>Forecast!N28</f>
        <v>0</v>
      </c>
      <c r="Z15" s="827" t="e">
        <f>(S15/M14)^(1/5)-1</f>
        <v>#DIV/0!</v>
      </c>
    </row>
    <row r="16" spans="2:26" ht="12">
      <c r="B16" s="808" t="str">
        <f>B47 &amp; " YoY Growth %"</f>
        <v>[General &amp; Admin expenses] YoY Growth %</v>
      </c>
      <c r="C16" s="809">
        <f>Historicals!D54</f>
        <v>0</v>
      </c>
      <c r="D16" s="809" t="str">
        <f>Historicals!E54</f>
        <v/>
      </c>
      <c r="E16" s="809" t="str">
        <f>Historicals!F54</f>
        <v/>
      </c>
      <c r="F16" s="809" t="str">
        <f>Historicals!G54</f>
        <v/>
      </c>
      <c r="G16" s="809" t="str">
        <f>Historicals!H54</f>
        <v/>
      </c>
      <c r="H16" s="809" t="str">
        <f>Historicals!I54</f>
        <v/>
      </c>
      <c r="I16" s="809" t="str">
        <f>Historicals!J54</f>
        <v/>
      </c>
      <c r="J16" s="809" t="str">
        <f>Historicals!K54</f>
        <v/>
      </c>
      <c r="K16" s="809" t="str">
        <f>Historicals!L54</f>
        <v/>
      </c>
      <c r="L16" s="809" t="str">
        <f>Historicals!M54</f>
        <v/>
      </c>
      <c r="M16" s="809" t="str">
        <f>Historicals!N54</f>
        <v/>
      </c>
      <c r="N16" s="810" t="str">
        <f>Historicals!O54</f>
        <v/>
      </c>
      <c r="O16" s="809" t="str">
        <f>Forecast!D46</f>
        <v/>
      </c>
      <c r="P16" s="809" t="str">
        <f>Forecast!E46</f>
        <v/>
      </c>
      <c r="Q16" s="809" t="str">
        <f>Forecast!F46</f>
        <v/>
      </c>
      <c r="R16" s="809" t="str">
        <f>Forecast!G46</f>
        <v/>
      </c>
      <c r="S16" s="809" t="str">
        <f>Forecast!H46</f>
        <v/>
      </c>
      <c r="T16" s="809" t="str">
        <f>Forecast!I46</f>
        <v/>
      </c>
      <c r="U16" s="809" t="str">
        <f>Forecast!J46</f>
        <v/>
      </c>
      <c r="V16" s="809" t="str">
        <f>Forecast!K46</f>
        <v/>
      </c>
      <c r="W16" s="809" t="str">
        <f>Forecast!L46</f>
        <v/>
      </c>
      <c r="X16" s="809" t="str">
        <f>Forecast!M46</f>
        <v/>
      </c>
      <c r="Y16" s="809" t="str">
        <f>Forecast!N46</f>
        <v/>
      </c>
      <c r="Z16" s="828"/>
    </row>
    <row r="17" spans="2:26" ht="10.5">
      <c r="B17" t="str">
        <f>"Historical " &amp; B48</f>
        <v>Historical [Other operating expenses 1]</v>
      </c>
      <c r="C17" s="90">
        <f>Historicals!D28</f>
        <v>0</v>
      </c>
      <c r="D17" s="90">
        <f>Historicals!E28</f>
        <v>0</v>
      </c>
      <c r="E17" s="90">
        <f>Historicals!F28</f>
        <v>0</v>
      </c>
      <c r="F17" s="90">
        <f>Historicals!G28</f>
        <v>0</v>
      </c>
      <c r="G17" s="90">
        <f>Historicals!H28</f>
        <v>0</v>
      </c>
      <c r="H17" s="90">
        <f>Historicals!I28</f>
        <v>0</v>
      </c>
      <c r="I17" s="90">
        <f>Historicals!J28</f>
        <v>0</v>
      </c>
      <c r="J17" s="90">
        <f>Historicals!K28</f>
        <v>0</v>
      </c>
      <c r="K17" s="90">
        <f>Historicals!L28</f>
        <v>0</v>
      </c>
      <c r="L17" s="90">
        <f>Historicals!M28</f>
        <v>0</v>
      </c>
      <c r="M17" s="90">
        <f>Historicals!N28</f>
        <v>0</v>
      </c>
      <c r="N17" s="804"/>
      <c r="O17" s="90"/>
      <c r="P17" s="90"/>
      <c r="Q17" s="90"/>
      <c r="R17" s="90"/>
      <c r="S17" s="90"/>
      <c r="T17" s="90"/>
      <c r="U17" s="90"/>
      <c r="V17" s="90"/>
      <c r="W17" s="90"/>
      <c r="X17" s="90"/>
      <c r="Y17" s="90"/>
      <c r="Z17" s="830"/>
    </row>
    <row r="18" spans="2:26" ht="10.5">
      <c r="B18" t="str">
        <f>"Forecast " &amp; B48</f>
        <v>Forecast [Other operating expenses 1]</v>
      </c>
      <c r="C18" s="90"/>
      <c r="D18" s="90"/>
      <c r="E18" s="90"/>
      <c r="F18" s="90"/>
      <c r="G18" s="90"/>
      <c r="H18" s="90"/>
      <c r="I18" s="90"/>
      <c r="J18" s="90"/>
      <c r="K18" s="90"/>
      <c r="L18" s="90"/>
      <c r="M18" s="90"/>
      <c r="N18" s="804"/>
      <c r="O18" s="90">
        <f>Forecast!D29</f>
        <v>0</v>
      </c>
      <c r="P18" s="90">
        <f>Forecast!E29</f>
        <v>0</v>
      </c>
      <c r="Q18" s="90">
        <f>Forecast!F29</f>
        <v>0</v>
      </c>
      <c r="R18" s="90">
        <f>Forecast!G29</f>
        <v>0</v>
      </c>
      <c r="S18" s="90">
        <f>Forecast!H29</f>
        <v>0</v>
      </c>
      <c r="T18" s="90">
        <f>Forecast!I29</f>
        <v>0</v>
      </c>
      <c r="U18" s="90">
        <f>Forecast!J29</f>
        <v>0</v>
      </c>
      <c r="V18" s="90">
        <f>Forecast!K29</f>
        <v>0</v>
      </c>
      <c r="W18" s="90">
        <f>Forecast!L29</f>
        <v>0</v>
      </c>
      <c r="X18" s="90">
        <f>Forecast!M29</f>
        <v>0</v>
      </c>
      <c r="Y18" s="90">
        <f>Forecast!N29</f>
        <v>0</v>
      </c>
      <c r="Z18" s="827" t="e">
        <f>(S18/M17)^(1/5)-1</f>
        <v>#DIV/0!</v>
      </c>
    </row>
    <row r="19" spans="2:26" ht="12">
      <c r="B19" s="808" t="str">
        <f>B48 &amp; " YoY Growth %"</f>
        <v>[Other operating expenses 1] YoY Growth %</v>
      </c>
      <c r="C19" s="809">
        <f>Historicals!D55</f>
        <v>0</v>
      </c>
      <c r="D19" s="809" t="str">
        <f>Historicals!E55</f>
        <v/>
      </c>
      <c r="E19" s="809" t="str">
        <f>Historicals!F55</f>
        <v/>
      </c>
      <c r="F19" s="809" t="str">
        <f>Historicals!G55</f>
        <v/>
      </c>
      <c r="G19" s="809" t="str">
        <f>Historicals!H55</f>
        <v/>
      </c>
      <c r="H19" s="809" t="str">
        <f>Historicals!I55</f>
        <v/>
      </c>
      <c r="I19" s="809" t="str">
        <f>Historicals!J55</f>
        <v/>
      </c>
      <c r="J19" s="809" t="str">
        <f>Historicals!K55</f>
        <v/>
      </c>
      <c r="K19" s="809" t="str">
        <f>Historicals!L55</f>
        <v/>
      </c>
      <c r="L19" s="809" t="str">
        <f>Historicals!M55</f>
        <v/>
      </c>
      <c r="M19" s="809" t="str">
        <f>Historicals!N55</f>
        <v/>
      </c>
      <c r="N19" s="810" t="str">
        <f>Historicals!O55</f>
        <v/>
      </c>
      <c r="O19" s="809" t="str">
        <f>Forecast!D47</f>
        <v/>
      </c>
      <c r="P19" s="809" t="str">
        <f>Forecast!E47</f>
        <v/>
      </c>
      <c r="Q19" s="809" t="str">
        <f>Forecast!F47</f>
        <v/>
      </c>
      <c r="R19" s="809" t="str">
        <f>Forecast!G47</f>
        <v/>
      </c>
      <c r="S19" s="809" t="str">
        <f>Forecast!H47</f>
        <v/>
      </c>
      <c r="T19" s="809" t="str">
        <f>Forecast!I47</f>
        <v/>
      </c>
      <c r="U19" s="809" t="str">
        <f>Forecast!J47</f>
        <v/>
      </c>
      <c r="V19" s="809" t="str">
        <f>Forecast!K47</f>
        <v/>
      </c>
      <c r="W19" s="809" t="str">
        <f>Forecast!L47</f>
        <v/>
      </c>
      <c r="X19" s="809" t="str">
        <f>Forecast!M47</f>
        <v/>
      </c>
      <c r="Y19" s="809" t="str">
        <f>Forecast!N47</f>
        <v/>
      </c>
      <c r="Z19" s="828"/>
    </row>
    <row r="20" spans="2:26" ht="10.5">
      <c r="B20" t="str">
        <f>"Historical " &amp; B49</f>
        <v>Historical [Other operating expenses 2]</v>
      </c>
      <c r="C20" s="90">
        <f>Historicals!D29</f>
        <v>0</v>
      </c>
      <c r="D20" s="90">
        <f>Historicals!E29</f>
        <v>0</v>
      </c>
      <c r="E20" s="90">
        <f>Historicals!F29</f>
        <v>0</v>
      </c>
      <c r="F20" s="90">
        <f>Historicals!G29</f>
        <v>0</v>
      </c>
      <c r="G20" s="90">
        <f>Historicals!H29</f>
        <v>0</v>
      </c>
      <c r="H20" s="90">
        <f>Historicals!I29</f>
        <v>0</v>
      </c>
      <c r="I20" s="90">
        <f>Historicals!J29</f>
        <v>0</v>
      </c>
      <c r="J20" s="90">
        <f>Historicals!K29</f>
        <v>0</v>
      </c>
      <c r="K20" s="90">
        <f>Historicals!L29</f>
        <v>0</v>
      </c>
      <c r="L20" s="90">
        <f>Historicals!M29</f>
        <v>0</v>
      </c>
      <c r="M20" s="90">
        <f>Historicals!N29</f>
        <v>0</v>
      </c>
      <c r="N20" s="804"/>
      <c r="O20" s="90"/>
      <c r="P20" s="90"/>
      <c r="Q20" s="90"/>
      <c r="R20" s="90"/>
      <c r="S20" s="90"/>
      <c r="T20" s="90"/>
      <c r="U20" s="90"/>
      <c r="V20" s="90"/>
      <c r="W20" s="90"/>
      <c r="X20" s="90"/>
      <c r="Y20" s="90"/>
      <c r="Z20" s="830"/>
    </row>
    <row r="21" spans="2:26" ht="10.5">
      <c r="B21" t="str">
        <f>"Forecast " &amp; B49</f>
        <v>Forecast [Other operating expenses 2]</v>
      </c>
      <c r="C21" s="90"/>
      <c r="D21" s="90"/>
      <c r="E21" s="90"/>
      <c r="F21" s="90"/>
      <c r="G21" s="90"/>
      <c r="H21" s="90"/>
      <c r="I21" s="90"/>
      <c r="J21" s="90"/>
      <c r="K21" s="90"/>
      <c r="L21" s="90"/>
      <c r="M21" s="90"/>
      <c r="N21" s="804"/>
      <c r="O21" s="90">
        <f>Forecast!D30</f>
        <v>0</v>
      </c>
      <c r="P21" s="90">
        <f>Forecast!E30</f>
        <v>0</v>
      </c>
      <c r="Q21" s="90">
        <f>Forecast!F30</f>
        <v>0</v>
      </c>
      <c r="R21" s="90">
        <f>Forecast!G30</f>
        <v>0</v>
      </c>
      <c r="S21" s="90">
        <f>Forecast!H30</f>
        <v>0</v>
      </c>
      <c r="T21" s="90">
        <f>Forecast!I30</f>
        <v>0</v>
      </c>
      <c r="U21" s="90">
        <f>Forecast!J30</f>
        <v>0</v>
      </c>
      <c r="V21" s="90">
        <f>Forecast!K30</f>
        <v>0</v>
      </c>
      <c r="W21" s="90">
        <f>Forecast!L30</f>
        <v>0</v>
      </c>
      <c r="X21" s="90">
        <f>Forecast!M30</f>
        <v>0</v>
      </c>
      <c r="Y21" s="90">
        <f>Forecast!N30</f>
        <v>0</v>
      </c>
      <c r="Z21" s="827" t="e">
        <f>(S21/M20)^(1/5)-1</f>
        <v>#DIV/0!</v>
      </c>
    </row>
    <row r="22" spans="2:26" ht="12">
      <c r="B22" s="808" t="str">
        <f>B49 &amp; " YoY Growth %"</f>
        <v>[Other operating expenses 2] YoY Growth %</v>
      </c>
      <c r="C22" s="809">
        <f>Historicals!D56</f>
        <v>0</v>
      </c>
      <c r="D22" s="809" t="str">
        <f>Historicals!E56</f>
        <v/>
      </c>
      <c r="E22" s="809" t="str">
        <f>Historicals!F56</f>
        <v/>
      </c>
      <c r="F22" s="809" t="str">
        <f>Historicals!G56</f>
        <v/>
      </c>
      <c r="G22" s="809" t="str">
        <f>Historicals!H56</f>
        <v/>
      </c>
      <c r="H22" s="809" t="str">
        <f>Historicals!I56</f>
        <v/>
      </c>
      <c r="I22" s="809" t="str">
        <f>Historicals!J56</f>
        <v/>
      </c>
      <c r="J22" s="809" t="str">
        <f>Historicals!K56</f>
        <v/>
      </c>
      <c r="K22" s="809" t="str">
        <f>Historicals!L56</f>
        <v/>
      </c>
      <c r="L22" s="809" t="str">
        <f>Historicals!M56</f>
        <v/>
      </c>
      <c r="M22" s="809" t="str">
        <f>Historicals!N56</f>
        <v/>
      </c>
      <c r="N22" s="810" t="str">
        <f>Historicals!O56</f>
        <v/>
      </c>
      <c r="O22" s="809" t="str">
        <f>Forecast!D48</f>
        <v/>
      </c>
      <c r="P22" s="809" t="str">
        <f>Forecast!E48</f>
        <v/>
      </c>
      <c r="Q22" s="809" t="str">
        <f>Forecast!F48</f>
        <v/>
      </c>
      <c r="R22" s="809" t="str">
        <f>Forecast!G48</f>
        <v/>
      </c>
      <c r="S22" s="809" t="str">
        <f>Forecast!H48</f>
        <v/>
      </c>
      <c r="T22" s="809" t="str">
        <f>Forecast!I48</f>
        <v/>
      </c>
      <c r="U22" s="809" t="str">
        <f>Forecast!J48</f>
        <v/>
      </c>
      <c r="V22" s="809" t="str">
        <f>Forecast!K48</f>
        <v/>
      </c>
      <c r="W22" s="809" t="str">
        <f>Forecast!L48</f>
        <v/>
      </c>
      <c r="X22" s="809" t="str">
        <f>Forecast!M48</f>
        <v/>
      </c>
      <c r="Y22" s="809" t="str">
        <f>Forecast!N48</f>
        <v/>
      </c>
      <c r="Z22" s="828"/>
    </row>
    <row r="23" spans="2:26" ht="10.5">
      <c r="B23" t="str">
        <f>"Historical " &amp; B50</f>
        <v>Historical EBITDA</v>
      </c>
      <c r="C23" s="90">
        <f>Historicals!D34</f>
        <v>0</v>
      </c>
      <c r="D23" s="90">
        <f>Historicals!E34</f>
        <v>0</v>
      </c>
      <c r="E23" s="90">
        <f>Historicals!F34</f>
        <v>0</v>
      </c>
      <c r="F23" s="90">
        <f>Historicals!G34</f>
        <v>0</v>
      </c>
      <c r="G23" s="90">
        <f>Historicals!H34</f>
        <v>0</v>
      </c>
      <c r="H23" s="90">
        <f>Historicals!I34</f>
        <v>0</v>
      </c>
      <c r="I23" s="90">
        <f>Historicals!J34</f>
        <v>0</v>
      </c>
      <c r="J23" s="90">
        <f>Historicals!K34</f>
        <v>0</v>
      </c>
      <c r="K23" s="90">
        <f>Historicals!L34</f>
        <v>0</v>
      </c>
      <c r="L23" s="90">
        <f>Historicals!M34</f>
        <v>0</v>
      </c>
      <c r="M23" s="90">
        <f>Historicals!N34</f>
        <v>0</v>
      </c>
      <c r="N23" s="804"/>
      <c r="O23" s="90"/>
      <c r="P23" s="90"/>
      <c r="Q23" s="90"/>
      <c r="R23" s="90"/>
      <c r="S23" s="90"/>
      <c r="T23" s="90"/>
      <c r="U23" s="90"/>
      <c r="V23" s="90"/>
      <c r="W23" s="90"/>
      <c r="X23" s="90"/>
      <c r="Y23" s="90"/>
      <c r="Z23" s="830"/>
    </row>
    <row r="24" spans="2:26" ht="10.5">
      <c r="B24" t="str">
        <f>"Forecast " &amp; B50</f>
        <v>Forecast EBITDA</v>
      </c>
      <c r="C24" s="90"/>
      <c r="D24" s="90"/>
      <c r="E24" s="90"/>
      <c r="F24" s="90"/>
      <c r="G24" s="90"/>
      <c r="H24" s="90"/>
      <c r="I24" s="90"/>
      <c r="J24" s="90"/>
      <c r="K24" s="90"/>
      <c r="L24" s="90"/>
      <c r="M24" s="90"/>
      <c r="N24" s="804"/>
      <c r="O24" s="90">
        <f>Forecast!D35</f>
        <v>0</v>
      </c>
      <c r="P24" s="90">
        <f>Forecast!E35</f>
        <v>0</v>
      </c>
      <c r="Q24" s="90">
        <f>Forecast!F35</f>
        <v>0</v>
      </c>
      <c r="R24" s="90">
        <f>Forecast!G35</f>
        <v>0</v>
      </c>
      <c r="S24" s="90">
        <f>Forecast!H35</f>
        <v>0</v>
      </c>
      <c r="T24" s="90">
        <f>Forecast!I35</f>
        <v>0</v>
      </c>
      <c r="U24" s="90">
        <f>Forecast!J35</f>
        <v>0</v>
      </c>
      <c r="V24" s="90">
        <f>Forecast!K35</f>
        <v>0</v>
      </c>
      <c r="W24" s="90">
        <f>Forecast!L35</f>
        <v>0</v>
      </c>
      <c r="X24" s="90">
        <f>Forecast!M35</f>
        <v>0</v>
      </c>
      <c r="Y24" s="90">
        <f>Forecast!N35</f>
        <v>0</v>
      </c>
      <c r="Z24" s="827" t="e">
        <f>(S24/M23)^(1/5)-1</f>
        <v>#DIV/0!</v>
      </c>
    </row>
    <row r="25" spans="2:26" ht="12">
      <c r="B25" s="808" t="str">
        <f>B50 &amp; " Margin"</f>
        <v>EBITDA Margin</v>
      </c>
      <c r="C25" s="809" t="str">
        <f>Historicals!D63</f>
        <v/>
      </c>
      <c r="D25" s="809" t="str">
        <f>Historicals!E63</f>
        <v/>
      </c>
      <c r="E25" s="809" t="str">
        <f>Historicals!F63</f>
        <v/>
      </c>
      <c r="F25" s="809" t="str">
        <f>Historicals!G63</f>
        <v/>
      </c>
      <c r="G25" s="809" t="str">
        <f>Historicals!H63</f>
        <v/>
      </c>
      <c r="H25" s="809" t="str">
        <f>Historicals!I63</f>
        <v/>
      </c>
      <c r="I25" s="809" t="str">
        <f>Historicals!J63</f>
        <v/>
      </c>
      <c r="J25" s="809" t="str">
        <f>Historicals!K63</f>
        <v/>
      </c>
      <c r="K25" s="809" t="str">
        <f>Historicals!L63</f>
        <v/>
      </c>
      <c r="L25" s="809" t="str">
        <f>Historicals!M63</f>
        <v/>
      </c>
      <c r="M25" s="809" t="str">
        <f>Historicals!N63</f>
        <v/>
      </c>
      <c r="N25" s="810" t="str">
        <f>Historicals!O62</f>
        <v/>
      </c>
      <c r="O25" s="809" t="str">
        <f>Forecast!D54</f>
        <v/>
      </c>
      <c r="P25" s="809" t="str">
        <f>Forecast!E54</f>
        <v/>
      </c>
      <c r="Q25" s="809" t="str">
        <f>Forecast!F54</f>
        <v/>
      </c>
      <c r="R25" s="809" t="str">
        <f>Forecast!G54</f>
        <v/>
      </c>
      <c r="S25" s="809" t="str">
        <f>Forecast!H54</f>
        <v/>
      </c>
      <c r="T25" s="809" t="str">
        <f>Forecast!I54</f>
        <v/>
      </c>
      <c r="U25" s="809" t="str">
        <f>Forecast!J54</f>
        <v/>
      </c>
      <c r="V25" s="809" t="str">
        <f>Forecast!K54</f>
        <v/>
      </c>
      <c r="W25" s="809" t="str">
        <f>Forecast!L54</f>
        <v/>
      </c>
      <c r="X25" s="809" t="str">
        <f>Forecast!M54</f>
        <v/>
      </c>
      <c r="Y25" s="809" t="str">
        <f>Forecast!N54</f>
        <v/>
      </c>
      <c r="Z25" s="828"/>
    </row>
    <row r="26" spans="2:26" ht="10.5">
      <c r="B26" t="str">
        <f>"Historical " &amp; B51</f>
        <v>Historical Capital Expenditures</v>
      </c>
      <c r="C26" s="90">
        <f>Historicals!D141</f>
        <v>0</v>
      </c>
      <c r="D26" s="90">
        <f>Historicals!E141</f>
        <v>0</v>
      </c>
      <c r="E26" s="90">
        <f>Historicals!F141</f>
        <v>0</v>
      </c>
      <c r="F26" s="90">
        <f>Historicals!G141</f>
        <v>0</v>
      </c>
      <c r="G26" s="90">
        <f>Historicals!H141</f>
        <v>0</v>
      </c>
      <c r="H26" s="90">
        <f>Historicals!I141</f>
        <v>0</v>
      </c>
      <c r="I26" s="90">
        <f>Historicals!J141</f>
        <v>0</v>
      </c>
      <c r="J26" s="90">
        <f>Historicals!K141</f>
        <v>0</v>
      </c>
      <c r="K26" s="90">
        <f>Historicals!L141</f>
        <v>0</v>
      </c>
      <c r="L26" s="90">
        <f>Historicals!M141</f>
        <v>0</v>
      </c>
      <c r="M26" s="90">
        <f>Historicals!N141</f>
        <v>0</v>
      </c>
      <c r="N26" s="804"/>
      <c r="O26" s="90"/>
      <c r="P26" s="90"/>
      <c r="Q26" s="90"/>
      <c r="R26" s="90"/>
      <c r="S26" s="90"/>
      <c r="T26" s="90"/>
      <c r="U26" s="90"/>
      <c r="V26" s="90"/>
      <c r="W26" s="90"/>
      <c r="X26" s="90"/>
      <c r="Y26" s="90"/>
      <c r="Z26" s="830"/>
    </row>
    <row r="27" spans="2:26" ht="10.5">
      <c r="B27" t="str">
        <f>"Forecast " &amp; B51</f>
        <v>Forecast Capital Expenditures</v>
      </c>
      <c r="C27" s="90"/>
      <c r="D27" s="90"/>
      <c r="E27" s="90"/>
      <c r="F27" s="90"/>
      <c r="G27" s="90"/>
      <c r="H27" s="90"/>
      <c r="I27" s="90"/>
      <c r="J27" s="90"/>
      <c r="K27" s="90"/>
      <c r="L27" s="90"/>
      <c r="M27" s="90"/>
      <c r="N27" s="804"/>
      <c r="O27" s="90">
        <f>Forecast!D57</f>
        <v>0</v>
      </c>
      <c r="P27" s="90">
        <f>Forecast!E57</f>
        <v>0</v>
      </c>
      <c r="Q27" s="90">
        <f>Forecast!F57</f>
        <v>0</v>
      </c>
      <c r="R27" s="90">
        <f>Forecast!G57</f>
        <v>0</v>
      </c>
      <c r="S27" s="90">
        <f>Forecast!H57</f>
        <v>0</v>
      </c>
      <c r="T27" s="90">
        <f>Forecast!I57</f>
        <v>0</v>
      </c>
      <c r="U27" s="90">
        <f>Forecast!J57</f>
        <v>0</v>
      </c>
      <c r="V27" s="90">
        <f>Forecast!K57</f>
        <v>0</v>
      </c>
      <c r="W27" s="90">
        <f>Forecast!L57</f>
        <v>0</v>
      </c>
      <c r="X27" s="90">
        <f>Forecast!M57</f>
        <v>0</v>
      </c>
      <c r="Y27" s="90">
        <f>Forecast!N57</f>
        <v>0</v>
      </c>
      <c r="Z27" s="827" t="e">
        <f>(S27/M26)^(1/5)-1</f>
        <v>#DIV/0!</v>
      </c>
    </row>
    <row r="28" spans="2:26" ht="12">
      <c r="B28" s="817" t="str">
        <f>B51 &amp; " / Sales %"</f>
        <v>Capital Expenditures / Sales %</v>
      </c>
      <c r="C28" s="818" t="str">
        <f>Historicals!D145</f>
        <v/>
      </c>
      <c r="D28" s="818" t="str">
        <f>Historicals!E145</f>
        <v/>
      </c>
      <c r="E28" s="818" t="str">
        <f>Historicals!F145</f>
        <v/>
      </c>
      <c r="F28" s="818" t="str">
        <f>Historicals!G145</f>
        <v/>
      </c>
      <c r="G28" s="818" t="str">
        <f>Historicals!H145</f>
        <v/>
      </c>
      <c r="H28" s="818" t="str">
        <f>Historicals!I145</f>
        <v/>
      </c>
      <c r="I28" s="818" t="str">
        <f>Historicals!J145</f>
        <v/>
      </c>
      <c r="J28" s="818" t="str">
        <f>Historicals!K145</f>
        <v/>
      </c>
      <c r="K28" s="818" t="str">
        <f>Historicals!L145</f>
        <v/>
      </c>
      <c r="L28" s="818" t="str">
        <f>Historicals!M145</f>
        <v/>
      </c>
      <c r="M28" s="818" t="str">
        <f>Historicals!N145</f>
        <v/>
      </c>
      <c r="N28" s="819" t="str">
        <f>Historicals!O154</f>
        <v/>
      </c>
      <c r="O28" s="818" t="str">
        <f>IFERROR(O27/O3,"")</f>
        <v/>
      </c>
      <c r="P28" s="818" t="str">
        <f t="shared" ref="P28:Y28" si="0">IFERROR(P27/P3,"")</f>
        <v/>
      </c>
      <c r="Q28" s="818" t="str">
        <f t="shared" si="0"/>
        <v/>
      </c>
      <c r="R28" s="818" t="str">
        <f t="shared" si="0"/>
        <v/>
      </c>
      <c r="S28" s="818" t="str">
        <f t="shared" si="0"/>
        <v/>
      </c>
      <c r="T28" s="818" t="str">
        <f t="shared" si="0"/>
        <v/>
      </c>
      <c r="U28" s="818" t="str">
        <f t="shared" si="0"/>
        <v/>
      </c>
      <c r="V28" s="818" t="str">
        <f t="shared" si="0"/>
        <v/>
      </c>
      <c r="W28" s="818" t="str">
        <f t="shared" si="0"/>
        <v/>
      </c>
      <c r="X28" s="818" t="str">
        <f t="shared" si="0"/>
        <v/>
      </c>
      <c r="Y28" s="818" t="str">
        <f t="shared" si="0"/>
        <v/>
      </c>
      <c r="Z28" s="831"/>
    </row>
    <row r="29" spans="2:26" ht="12">
      <c r="B29" s="811" t="s">
        <v>542</v>
      </c>
      <c r="C29" s="812" t="str">
        <f>Historicals!D211</f>
        <v/>
      </c>
      <c r="D29" s="812" t="str">
        <f>Historicals!E211</f>
        <v/>
      </c>
      <c r="E29" s="812" t="str">
        <f>Historicals!F211</f>
        <v/>
      </c>
      <c r="F29" s="812" t="str">
        <f>Historicals!G211</f>
        <v/>
      </c>
      <c r="G29" s="812" t="str">
        <f>Historicals!H211</f>
        <v/>
      </c>
      <c r="H29" s="812" t="str">
        <f>Historicals!I211</f>
        <v/>
      </c>
      <c r="I29" s="812" t="str">
        <f>Historicals!J211</f>
        <v/>
      </c>
      <c r="J29" s="812" t="str">
        <f>Historicals!K211</f>
        <v/>
      </c>
      <c r="K29" s="812" t="str">
        <f>Historicals!L211</f>
        <v/>
      </c>
      <c r="L29" s="812" t="str">
        <f>Historicals!M211</f>
        <v/>
      </c>
      <c r="M29" s="812" t="str">
        <f>Historicals!N211</f>
        <v/>
      </c>
      <c r="N29" s="813" t="str">
        <f>Historicals!O211</f>
        <v/>
      </c>
      <c r="O29" s="812" t="str">
        <f>Forecast!D72</f>
        <v/>
      </c>
      <c r="P29" s="812" t="str">
        <f>Forecast!E72</f>
        <v/>
      </c>
      <c r="Q29" s="812" t="str">
        <f>Forecast!F72</f>
        <v/>
      </c>
      <c r="R29" s="812" t="str">
        <f>Forecast!G72</f>
        <v/>
      </c>
      <c r="S29" s="812" t="str">
        <f>Forecast!H72</f>
        <v/>
      </c>
      <c r="T29" s="812" t="str">
        <f>Forecast!I72</f>
        <v/>
      </c>
      <c r="U29" s="812" t="str">
        <f>Forecast!J72</f>
        <v/>
      </c>
      <c r="V29" s="812" t="str">
        <f>Forecast!K72</f>
        <v/>
      </c>
      <c r="W29" s="812" t="str">
        <f>Forecast!L72</f>
        <v/>
      </c>
      <c r="X29" s="812" t="str">
        <f>Forecast!M72</f>
        <v/>
      </c>
      <c r="Y29" s="812" t="str">
        <f>Forecast!N72</f>
        <v/>
      </c>
      <c r="Z29" s="832"/>
    </row>
    <row r="30" spans="2:26" ht="10.5">
      <c r="B30" t="str">
        <f>"Historical " &amp; B52</f>
        <v>Historical Net Working Capital</v>
      </c>
      <c r="C30" s="90">
        <f>Historicals!D162</f>
        <v>0</v>
      </c>
      <c r="D30" s="90">
        <f>Historicals!E162</f>
        <v>0</v>
      </c>
      <c r="E30" s="90">
        <f>Historicals!F162</f>
        <v>0</v>
      </c>
      <c r="F30" s="90">
        <f>Historicals!G162</f>
        <v>0</v>
      </c>
      <c r="G30" s="90">
        <f>Historicals!H162</f>
        <v>0</v>
      </c>
      <c r="H30" s="90">
        <f>Historicals!I162</f>
        <v>0</v>
      </c>
      <c r="I30" s="90">
        <f>Historicals!J162</f>
        <v>0</v>
      </c>
      <c r="J30" s="90">
        <f>Historicals!K162</f>
        <v>0</v>
      </c>
      <c r="K30" s="90">
        <f>Historicals!L162</f>
        <v>0</v>
      </c>
      <c r="L30" s="90">
        <f>Historicals!M162</f>
        <v>0</v>
      </c>
      <c r="M30" s="90">
        <f>Historicals!N162</f>
        <v>0</v>
      </c>
      <c r="N30" s="805"/>
      <c r="O30" s="90"/>
      <c r="P30" s="90"/>
      <c r="Q30" s="90"/>
      <c r="R30" s="90"/>
      <c r="S30" s="90"/>
      <c r="T30" s="90"/>
      <c r="U30" s="90"/>
      <c r="V30" s="90"/>
      <c r="W30" s="90"/>
      <c r="X30" s="90"/>
      <c r="Y30" s="90"/>
      <c r="Z30" s="833"/>
    </row>
    <row r="31" spans="2:26" ht="10.5">
      <c r="B31" t="str">
        <f>"Forecast " &amp; B52</f>
        <v>Forecast Net Working Capital</v>
      </c>
      <c r="C31" s="90"/>
      <c r="D31" s="90"/>
      <c r="E31" s="90"/>
      <c r="F31" s="90"/>
      <c r="G31" s="90"/>
      <c r="H31" s="90"/>
      <c r="I31" s="90"/>
      <c r="J31" s="90"/>
      <c r="K31" s="90"/>
      <c r="L31" s="90"/>
      <c r="M31" s="90"/>
      <c r="N31" s="805"/>
      <c r="O31" s="741">
        <f>Forecast!D100</f>
        <v>0</v>
      </c>
      <c r="P31" s="741">
        <f>Forecast!E100</f>
        <v>0</v>
      </c>
      <c r="Q31" s="741">
        <f>Forecast!F100</f>
        <v>0</v>
      </c>
      <c r="R31" s="741">
        <f>Forecast!G100</f>
        <v>0</v>
      </c>
      <c r="S31" s="741">
        <f>Forecast!H100</f>
        <v>0</v>
      </c>
      <c r="T31" s="741">
        <f>Forecast!I100</f>
        <v>0</v>
      </c>
      <c r="U31" s="741">
        <f>Forecast!J100</f>
        <v>0</v>
      </c>
      <c r="V31" s="741">
        <f>Forecast!K100</f>
        <v>0</v>
      </c>
      <c r="W31" s="741">
        <f>Forecast!L100</f>
        <v>0</v>
      </c>
      <c r="X31" s="741">
        <f>Forecast!M100</f>
        <v>0</v>
      </c>
      <c r="Y31" s="741">
        <f>Forecast!N100</f>
        <v>0</v>
      </c>
      <c r="Z31" s="827" t="e">
        <f>(S31/M30)^(1/5)-1</f>
        <v>#DIV/0!</v>
      </c>
    </row>
    <row r="32" spans="2:26" ht="12">
      <c r="B32" s="817" t="str">
        <f>Historicals!B219</f>
        <v>Collection period (days)</v>
      </c>
      <c r="C32" s="820" t="str">
        <f>Historicals!D219</f>
        <v/>
      </c>
      <c r="D32" s="820" t="str">
        <f>Historicals!E219</f>
        <v/>
      </c>
      <c r="E32" s="820" t="str">
        <f>Historicals!F219</f>
        <v/>
      </c>
      <c r="F32" s="820" t="str">
        <f>Historicals!G219</f>
        <v/>
      </c>
      <c r="G32" s="820" t="str">
        <f>Historicals!H219</f>
        <v/>
      </c>
      <c r="H32" s="820" t="str">
        <f>Historicals!I219</f>
        <v/>
      </c>
      <c r="I32" s="820" t="str">
        <f>Historicals!J219</f>
        <v/>
      </c>
      <c r="J32" s="820" t="str">
        <f>Historicals!K219</f>
        <v/>
      </c>
      <c r="K32" s="820" t="str">
        <f>Historicals!L219</f>
        <v/>
      </c>
      <c r="L32" s="820" t="str">
        <f>Historicals!M219</f>
        <v/>
      </c>
      <c r="M32" s="820" t="str">
        <f>Historicals!N219</f>
        <v/>
      </c>
      <c r="N32" s="824" t="str">
        <f>Historicals!O219</f>
        <v/>
      </c>
      <c r="O32" s="820" t="str">
        <f>Forecast!D105</f>
        <v/>
      </c>
      <c r="P32" s="820" t="str">
        <f>Forecast!E105</f>
        <v/>
      </c>
      <c r="Q32" s="820" t="str">
        <f>Forecast!F105</f>
        <v/>
      </c>
      <c r="R32" s="820" t="str">
        <f>Forecast!G105</f>
        <v/>
      </c>
      <c r="S32" s="820" t="str">
        <f>Forecast!H105</f>
        <v/>
      </c>
      <c r="T32" s="820" t="str">
        <f>Forecast!I105</f>
        <v/>
      </c>
      <c r="U32" s="820" t="str">
        <f>Forecast!J105</f>
        <v/>
      </c>
      <c r="V32" s="820" t="str">
        <f>Forecast!K105</f>
        <v/>
      </c>
      <c r="W32" s="820" t="str">
        <f>Forecast!L105</f>
        <v/>
      </c>
      <c r="X32" s="820" t="str">
        <f>Forecast!M105</f>
        <v/>
      </c>
      <c r="Y32" s="820" t="str">
        <f>Forecast!N105</f>
        <v/>
      </c>
      <c r="Z32" s="834"/>
    </row>
    <row r="33" spans="2:26" ht="12">
      <c r="B33" s="814" t="str">
        <f>Historicals!B220</f>
        <v>Payment period (days)</v>
      </c>
      <c r="C33" s="821" t="str">
        <f>Historicals!D220</f>
        <v/>
      </c>
      <c r="D33" s="821" t="str">
        <f>Historicals!E220</f>
        <v/>
      </c>
      <c r="E33" s="821" t="str">
        <f>Historicals!F220</f>
        <v/>
      </c>
      <c r="F33" s="821" t="str">
        <f>Historicals!G220</f>
        <v/>
      </c>
      <c r="G33" s="821" t="str">
        <f>Historicals!H220</f>
        <v/>
      </c>
      <c r="H33" s="821" t="str">
        <f>Historicals!I220</f>
        <v/>
      </c>
      <c r="I33" s="821" t="str">
        <f>Historicals!J220</f>
        <v/>
      </c>
      <c r="J33" s="821" t="str">
        <f>Historicals!K220</f>
        <v/>
      </c>
      <c r="K33" s="821" t="str">
        <f>Historicals!L220</f>
        <v/>
      </c>
      <c r="L33" s="821" t="str">
        <f>Historicals!M220</f>
        <v/>
      </c>
      <c r="M33" s="821" t="str">
        <f>Historicals!N220</f>
        <v/>
      </c>
      <c r="N33" s="825" t="str">
        <f>Historicals!O220</f>
        <v/>
      </c>
      <c r="O33" s="821" t="str">
        <f>Forecast!D106</f>
        <v/>
      </c>
      <c r="P33" s="821" t="str">
        <f>Forecast!E106</f>
        <v/>
      </c>
      <c r="Q33" s="821" t="str">
        <f>Forecast!F106</f>
        <v/>
      </c>
      <c r="R33" s="821" t="str">
        <f>Forecast!G106</f>
        <v/>
      </c>
      <c r="S33" s="821" t="str">
        <f>Forecast!H106</f>
        <v/>
      </c>
      <c r="T33" s="821" t="str">
        <f>Forecast!I106</f>
        <v/>
      </c>
      <c r="U33" s="821" t="str">
        <f>Forecast!J106</f>
        <v/>
      </c>
      <c r="V33" s="821" t="str">
        <f>Forecast!K106</f>
        <v/>
      </c>
      <c r="W33" s="821" t="str">
        <f>Forecast!L106</f>
        <v/>
      </c>
      <c r="X33" s="821" t="str">
        <f>Forecast!M106</f>
        <v/>
      </c>
      <c r="Y33" s="821" t="str">
        <f>Forecast!N106</f>
        <v/>
      </c>
      <c r="Z33" s="835"/>
    </row>
    <row r="34" spans="2:26" ht="12">
      <c r="B34" s="814" t="str">
        <f>Historicals!B221</f>
        <v>Inventory (days on hand)</v>
      </c>
      <c r="C34" s="821" t="str">
        <f>Historicals!D221</f>
        <v/>
      </c>
      <c r="D34" s="821" t="str">
        <f>Historicals!E221</f>
        <v/>
      </c>
      <c r="E34" s="821" t="str">
        <f>Historicals!F221</f>
        <v/>
      </c>
      <c r="F34" s="821" t="str">
        <f>Historicals!G221</f>
        <v/>
      </c>
      <c r="G34" s="821" t="str">
        <f>Historicals!H221</f>
        <v/>
      </c>
      <c r="H34" s="821" t="str">
        <f>Historicals!I221</f>
        <v/>
      </c>
      <c r="I34" s="821" t="str">
        <f>Historicals!J221</f>
        <v/>
      </c>
      <c r="J34" s="821" t="str">
        <f>Historicals!K221</f>
        <v/>
      </c>
      <c r="K34" s="821" t="str">
        <f>Historicals!L221</f>
        <v/>
      </c>
      <c r="L34" s="821" t="str">
        <f>Historicals!M221</f>
        <v/>
      </c>
      <c r="M34" s="821" t="str">
        <f>Historicals!N221</f>
        <v/>
      </c>
      <c r="N34" s="825" t="str">
        <f>Historicals!O221</f>
        <v/>
      </c>
      <c r="O34" s="821" t="str">
        <f>Forecast!D107</f>
        <v/>
      </c>
      <c r="P34" s="821" t="str">
        <f>Forecast!E107</f>
        <v/>
      </c>
      <c r="Q34" s="821" t="str">
        <f>Forecast!F107</f>
        <v/>
      </c>
      <c r="R34" s="821" t="str">
        <f>Forecast!G107</f>
        <v/>
      </c>
      <c r="S34" s="821" t="str">
        <f>Forecast!H107</f>
        <v/>
      </c>
      <c r="T34" s="821" t="str">
        <f>Forecast!I107</f>
        <v/>
      </c>
      <c r="U34" s="821" t="str">
        <f>Forecast!J107</f>
        <v/>
      </c>
      <c r="V34" s="821" t="str">
        <f>Forecast!K107</f>
        <v/>
      </c>
      <c r="W34" s="821" t="str">
        <f>Forecast!L107</f>
        <v/>
      </c>
      <c r="X34" s="821" t="str">
        <f>Forecast!M107</f>
        <v/>
      </c>
      <c r="Y34" s="821" t="str">
        <f>Forecast!N107</f>
        <v/>
      </c>
      <c r="Z34" s="835"/>
    </row>
    <row r="35" spans="2:26" ht="12">
      <c r="B35" s="814" t="str">
        <f>Historicals!B222</f>
        <v>Cash conversion (days)</v>
      </c>
      <c r="C35" s="821" t="str">
        <f>Historicals!D222</f>
        <v/>
      </c>
      <c r="D35" s="821" t="str">
        <f>Historicals!E222</f>
        <v/>
      </c>
      <c r="E35" s="821" t="str">
        <f>Historicals!F222</f>
        <v/>
      </c>
      <c r="F35" s="821" t="str">
        <f>Historicals!G222</f>
        <v/>
      </c>
      <c r="G35" s="821" t="str">
        <f>Historicals!H222</f>
        <v/>
      </c>
      <c r="H35" s="821" t="str">
        <f>Historicals!I222</f>
        <v/>
      </c>
      <c r="I35" s="821" t="str">
        <f>Historicals!J222</f>
        <v/>
      </c>
      <c r="J35" s="821" t="str">
        <f>Historicals!K222</f>
        <v/>
      </c>
      <c r="K35" s="821" t="str">
        <f>Historicals!L222</f>
        <v/>
      </c>
      <c r="L35" s="821" t="str">
        <f>Historicals!M222</f>
        <v/>
      </c>
      <c r="M35" s="821" t="str">
        <f>Historicals!N222</f>
        <v/>
      </c>
      <c r="N35" s="825" t="str">
        <f>Historicals!O222</f>
        <v/>
      </c>
      <c r="O35" s="821" t="str">
        <f>IFERROR(O32+O34-O33,"")</f>
        <v/>
      </c>
      <c r="P35" s="821" t="str">
        <f t="shared" ref="P35:Y35" si="1">IFERROR(P32+P34-P33,"")</f>
        <v/>
      </c>
      <c r="Q35" s="821" t="str">
        <f t="shared" si="1"/>
        <v/>
      </c>
      <c r="R35" s="821" t="str">
        <f t="shared" si="1"/>
        <v/>
      </c>
      <c r="S35" s="821" t="str">
        <f t="shared" si="1"/>
        <v/>
      </c>
      <c r="T35" s="821" t="str">
        <f t="shared" si="1"/>
        <v/>
      </c>
      <c r="U35" s="821" t="str">
        <f t="shared" si="1"/>
        <v/>
      </c>
      <c r="V35" s="821" t="str">
        <f t="shared" si="1"/>
        <v/>
      </c>
      <c r="W35" s="821" t="str">
        <f t="shared" si="1"/>
        <v/>
      </c>
      <c r="X35" s="821" t="str">
        <f t="shared" si="1"/>
        <v/>
      </c>
      <c r="Y35" s="821" t="str">
        <f t="shared" si="1"/>
        <v/>
      </c>
      <c r="Z35" s="835"/>
    </row>
    <row r="36" spans="2:26" ht="12">
      <c r="B36" s="814" t="str">
        <f>Historicals!B225 &amp; " as a % of revenue"</f>
        <v>Other current assets as a % of revenue</v>
      </c>
      <c r="C36" s="815" t="str">
        <f>Historicals!D225</f>
        <v/>
      </c>
      <c r="D36" s="815" t="str">
        <f>Historicals!E225</f>
        <v/>
      </c>
      <c r="E36" s="815" t="str">
        <f>Historicals!F225</f>
        <v/>
      </c>
      <c r="F36" s="815" t="str">
        <f>Historicals!G225</f>
        <v/>
      </c>
      <c r="G36" s="815" t="str">
        <f>Historicals!H225</f>
        <v/>
      </c>
      <c r="H36" s="815" t="str">
        <f>Historicals!I225</f>
        <v/>
      </c>
      <c r="I36" s="815" t="str">
        <f>Historicals!J225</f>
        <v/>
      </c>
      <c r="J36" s="815" t="str">
        <f>Historicals!K225</f>
        <v/>
      </c>
      <c r="K36" s="815" t="str">
        <f>Historicals!L225</f>
        <v/>
      </c>
      <c r="L36" s="815" t="str">
        <f>Historicals!M225</f>
        <v/>
      </c>
      <c r="M36" s="815" t="str">
        <f>Historicals!N225</f>
        <v/>
      </c>
      <c r="N36" s="816" t="str">
        <f>Historicals!O225</f>
        <v/>
      </c>
      <c r="O36" s="815" t="str">
        <f>Forecast!D111</f>
        <v/>
      </c>
      <c r="P36" s="815" t="str">
        <f>Forecast!E111</f>
        <v/>
      </c>
      <c r="Q36" s="815" t="str">
        <f>Forecast!F111</f>
        <v/>
      </c>
      <c r="R36" s="815" t="str">
        <f>Forecast!G111</f>
        <v/>
      </c>
      <c r="S36" s="815" t="str">
        <f>Forecast!H111</f>
        <v/>
      </c>
      <c r="T36" s="815" t="str">
        <f>Forecast!I111</f>
        <v/>
      </c>
      <c r="U36" s="815" t="str">
        <f>Forecast!J111</f>
        <v/>
      </c>
      <c r="V36" s="815" t="str">
        <f>Forecast!K111</f>
        <v/>
      </c>
      <c r="W36" s="815" t="str">
        <f>Forecast!L111</f>
        <v/>
      </c>
      <c r="X36" s="815" t="str">
        <f>Forecast!M111</f>
        <v/>
      </c>
      <c r="Y36" s="815" t="str">
        <f>Forecast!N111</f>
        <v/>
      </c>
      <c r="Z36" s="836"/>
    </row>
    <row r="37" spans="2:26" ht="12">
      <c r="B37" s="811" t="str">
        <f>Historicals!B226 &amp; " as a % of revenue"</f>
        <v>Other current liabilities as a % of revenue</v>
      </c>
      <c r="C37" s="822" t="str">
        <f>Historicals!D226</f>
        <v/>
      </c>
      <c r="D37" s="822" t="str">
        <f>Historicals!E226</f>
        <v/>
      </c>
      <c r="E37" s="822" t="str">
        <f>Historicals!F226</f>
        <v/>
      </c>
      <c r="F37" s="822" t="str">
        <f>Historicals!G226</f>
        <v/>
      </c>
      <c r="G37" s="822" t="str">
        <f>Historicals!H226</f>
        <v/>
      </c>
      <c r="H37" s="822" t="str">
        <f>Historicals!I226</f>
        <v/>
      </c>
      <c r="I37" s="822" t="str">
        <f>Historicals!J226</f>
        <v/>
      </c>
      <c r="J37" s="822" t="str">
        <f>Historicals!K226</f>
        <v/>
      </c>
      <c r="K37" s="822" t="str">
        <f>Historicals!L226</f>
        <v/>
      </c>
      <c r="L37" s="822" t="str">
        <f>Historicals!M226</f>
        <v/>
      </c>
      <c r="M37" s="822" t="str">
        <f>Historicals!N226</f>
        <v/>
      </c>
      <c r="N37" s="823" t="str">
        <f>Historicals!O226</f>
        <v/>
      </c>
      <c r="O37" s="822" t="str">
        <f>Forecast!D112</f>
        <v/>
      </c>
      <c r="P37" s="822" t="str">
        <f>Forecast!E112</f>
        <v/>
      </c>
      <c r="Q37" s="822" t="str">
        <f>Forecast!F112</f>
        <v/>
      </c>
      <c r="R37" s="822" t="str">
        <f>Forecast!G112</f>
        <v/>
      </c>
      <c r="S37" s="822" t="str">
        <f>Forecast!H112</f>
        <v/>
      </c>
      <c r="T37" s="822" t="str">
        <f>Forecast!I112</f>
        <v/>
      </c>
      <c r="U37" s="822" t="str">
        <f>Forecast!J112</f>
        <v/>
      </c>
      <c r="V37" s="822" t="str">
        <f>Forecast!K112</f>
        <v/>
      </c>
      <c r="W37" s="822" t="str">
        <f>Forecast!L112</f>
        <v/>
      </c>
      <c r="X37" s="822" t="str">
        <f>Forecast!M112</f>
        <v/>
      </c>
      <c r="Y37" s="822" t="str">
        <f>Forecast!N112</f>
        <v/>
      </c>
      <c r="Z37" s="823"/>
    </row>
    <row r="43" spans="2:26">
      <c r="B43" s="806" t="str">
        <f>Historicals!B16</f>
        <v>Revenue</v>
      </c>
    </row>
    <row r="44" spans="2:26">
      <c r="B44" s="806" t="str">
        <f>Historicals!B23</f>
        <v>Gross Profit</v>
      </c>
    </row>
    <row r="45" spans="2:26">
      <c r="B45" s="806" t="str">
        <f>Historicals!B25</f>
        <v xml:space="preserve">[Selling &amp; marketing] </v>
      </c>
    </row>
    <row r="46" spans="2:26">
      <c r="B46" s="806" t="str">
        <f>Historicals!B26</f>
        <v>[Salary &amp; wages]</v>
      </c>
    </row>
    <row r="47" spans="2:26">
      <c r="B47" s="806" t="str">
        <f>Historicals!B27</f>
        <v>[General &amp; Admin expenses]</v>
      </c>
    </row>
    <row r="48" spans="2:26">
      <c r="B48" s="806" t="str">
        <f>Historicals!B28</f>
        <v>[Other operating expenses 1]</v>
      </c>
    </row>
    <row r="49" spans="2:2">
      <c r="B49" s="806" t="str">
        <f>Historicals!B29</f>
        <v>[Other operating expenses 2]</v>
      </c>
    </row>
    <row r="50" spans="2:2">
      <c r="B50" s="806" t="str">
        <f>Historicals!B34</f>
        <v>EBITDA</v>
      </c>
    </row>
    <row r="51" spans="2:2">
      <c r="B51" s="806" t="str">
        <f>Historicals!B139</f>
        <v>Capital Expenditures</v>
      </c>
    </row>
    <row r="52" spans="2:2">
      <c r="B52" s="806" t="str">
        <f>Historicals!B158</f>
        <v>Net Working Capital</v>
      </c>
    </row>
    <row r="53" spans="2:2">
      <c r="B53" s="13"/>
    </row>
    <row r="54" spans="2:2">
      <c r="B54" s="13"/>
    </row>
    <row r="55" spans="2:2">
      <c r="B55" s="13"/>
    </row>
    <row r="56" spans="2:2">
      <c r="B56" s="13"/>
    </row>
    <row r="57" spans="2:2">
      <c r="B57" s="13"/>
    </row>
  </sheetData>
  <conditionalFormatting sqref="C1:N1">
    <cfRule type="cellIs" dxfId="114" priority="41" operator="equal">
      <formula>"FYTE"</formula>
    </cfRule>
  </conditionalFormatting>
  <conditionalFormatting sqref="O1:Y1">
    <cfRule type="cellIs" dxfId="113" priority="39" operator="equal">
      <formula>0</formula>
    </cfRule>
    <cfRule type="cellIs" dxfId="112" priority="40" operator="equal">
      <formula>"FYTEF"</formula>
    </cfRule>
  </conditionalFormatting>
  <conditionalFormatting sqref="Z1">
    <cfRule type="cellIs" dxfId="111" priority="1" operator="equal">
      <formula>"FYTE"</formula>
    </cfRule>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5" tint="0.59999389629810485"/>
  </sheetPr>
  <dimension ref="A1:AB87"/>
  <sheetViews>
    <sheetView showGridLines="0" zoomScale="115" zoomScaleNormal="115" workbookViewId="0">
      <selection activeCell="D24" sqref="D24"/>
    </sheetView>
  </sheetViews>
  <sheetFormatPr defaultColWidth="9.109375" defaultRowHeight="10" outlineLevelRow="1"/>
  <cols>
    <col min="1" max="1" width="9.109375" customWidth="1"/>
    <col min="2" max="2" width="17.44140625" customWidth="1"/>
    <col min="3" max="3" width="18.44140625" customWidth="1"/>
    <col min="4" max="4" width="80.6640625" customWidth="1"/>
    <col min="5" max="5" width="11.6640625" customWidth="1"/>
    <col min="6" max="6" width="14" customWidth="1"/>
    <col min="7" max="7" width="11.6640625" customWidth="1"/>
    <col min="8" max="8" width="11" customWidth="1"/>
    <col min="9" max="9" width="9.6640625" customWidth="1"/>
    <col min="10" max="10" width="10.33203125" customWidth="1"/>
    <col min="11" max="13" width="10.44140625" customWidth="1"/>
    <col min="14" max="15" width="11.44140625" customWidth="1"/>
    <col min="16" max="16" width="14.33203125" customWidth="1"/>
    <col min="17" max="18" width="19.44140625" customWidth="1"/>
    <col min="19" max="19" width="9.109375" customWidth="1"/>
  </cols>
  <sheetData>
    <row r="1" spans="1:22" ht="27.5">
      <c r="B1" s="18" t="s">
        <v>137</v>
      </c>
      <c r="T1" s="47" t="s">
        <v>369</v>
      </c>
      <c r="U1" s="47" t="s">
        <v>313</v>
      </c>
      <c r="V1" s="47" t="s">
        <v>379</v>
      </c>
    </row>
    <row r="2" spans="1:22" ht="10.5">
      <c r="B2" s="19"/>
      <c r="T2" s="47" t="s">
        <v>109</v>
      </c>
      <c r="U2" s="47" t="s">
        <v>314</v>
      </c>
      <c r="V2" s="47" t="s">
        <v>379</v>
      </c>
    </row>
    <row r="3" spans="1:22" ht="19">
      <c r="B3" s="610" t="s">
        <v>367</v>
      </c>
      <c r="G3" s="45"/>
      <c r="T3" s="47" t="s">
        <v>381</v>
      </c>
      <c r="U3" s="47" t="s">
        <v>374</v>
      </c>
      <c r="V3" s="47" t="s">
        <v>380</v>
      </c>
    </row>
    <row r="4" spans="1:22" ht="10.5">
      <c r="C4" s="168">
        <f>C5</f>
        <v>46022</v>
      </c>
      <c r="E4" t="s">
        <v>115</v>
      </c>
      <c r="F4" s="860" t="s">
        <v>109</v>
      </c>
      <c r="G4" s="861"/>
      <c r="H4" s="862"/>
      <c r="I4" s="197" t="s">
        <v>293</v>
      </c>
      <c r="T4" s="47" t="s">
        <v>370</v>
      </c>
      <c r="U4" s="47" t="s">
        <v>375</v>
      </c>
      <c r="V4" s="47" t="s">
        <v>379</v>
      </c>
    </row>
    <row r="5" spans="1:22" ht="10.5">
      <c r="B5" t="s">
        <v>13</v>
      </c>
      <c r="C5" s="41">
        <f>vd</f>
        <v>46022</v>
      </c>
      <c r="D5" s="31"/>
      <c r="E5" s="46" t="s">
        <v>112</v>
      </c>
      <c r="F5" s="564" t="s">
        <v>382</v>
      </c>
      <c r="G5" s="46"/>
      <c r="I5" s="612" t="str">
        <f>VLOOKUP($F$4,$T$1:$V$7,2,0)</f>
        <v>IQ_TEV_EBITDA</v>
      </c>
      <c r="T5" s="47" t="s">
        <v>371</v>
      </c>
      <c r="U5" s="47" t="s">
        <v>376</v>
      </c>
      <c r="V5" s="47" t="s">
        <v>380</v>
      </c>
    </row>
    <row r="6" spans="1:22" ht="10.5">
      <c r="B6" t="s">
        <v>35</v>
      </c>
      <c r="C6" s="42" t="str">
        <f>curr</f>
        <v>USD</v>
      </c>
      <c r="D6" s="31"/>
      <c r="E6" s="7" t="s">
        <v>113</v>
      </c>
      <c r="F6" s="15" t="s">
        <v>114</v>
      </c>
      <c r="G6" s="7"/>
      <c r="I6" s="612" t="str">
        <f>VLOOKUP($F$4,$T$1:$V$7,3,0)</f>
        <v>IQ_LTM</v>
      </c>
      <c r="T6" s="47" t="s">
        <v>372</v>
      </c>
      <c r="U6" s="47" t="s">
        <v>377</v>
      </c>
      <c r="V6" s="47" t="s">
        <v>379</v>
      </c>
    </row>
    <row r="7" spans="1:22" ht="10.5">
      <c r="B7" s="45" t="s">
        <v>110</v>
      </c>
      <c r="C7" s="15" t="s">
        <v>111</v>
      </c>
      <c r="D7" s="31"/>
      <c r="E7" s="7" t="s">
        <v>61</v>
      </c>
      <c r="F7" s="565" t="s">
        <v>366</v>
      </c>
      <c r="G7" s="7"/>
      <c r="T7" s="47" t="s">
        <v>373</v>
      </c>
      <c r="U7" s="47" t="s">
        <v>378</v>
      </c>
      <c r="V7" s="47" t="s">
        <v>380</v>
      </c>
    </row>
    <row r="8" spans="1:22">
      <c r="C8" s="562">
        <f>IF($C$7="mln",1,IF($C$7="bln",0.001,0.000001))</f>
        <v>1</v>
      </c>
      <c r="D8" s="59"/>
    </row>
    <row r="9" spans="1:22" ht="10.5">
      <c r="B9" s="653" t="s">
        <v>100</v>
      </c>
      <c r="C9" s="662"/>
      <c r="D9" s="662"/>
      <c r="E9" s="662"/>
      <c r="F9" s="662"/>
      <c r="G9" s="662"/>
      <c r="H9" s="663"/>
      <c r="I9" s="663"/>
      <c r="J9" s="663"/>
      <c r="K9" s="663"/>
    </row>
    <row r="10" spans="1:22" ht="21">
      <c r="B10" s="604" t="s">
        <v>386</v>
      </c>
      <c r="C10" s="605"/>
      <c r="D10" s="605" t="s">
        <v>387</v>
      </c>
      <c r="E10" s="606" t="str">
        <f>"Market Cap"&amp;CHAR(10)&amp;"("&amp;$C$6&amp;" '"&amp;LEFT(C7,1)&amp;")"</f>
        <v>Market Cap
(USD 'm)</v>
      </c>
      <c r="F10" s="606" t="s">
        <v>126</v>
      </c>
      <c r="G10" s="606" t="s">
        <v>282</v>
      </c>
      <c r="H10" s="606" t="str">
        <f>$F$4&amp;" multiple"</f>
        <v>EV/EBITDA multiple</v>
      </c>
      <c r="I10" s="606" t="s">
        <v>102</v>
      </c>
      <c r="J10" s="606" t="s">
        <v>103</v>
      </c>
      <c r="K10" s="606" t="s">
        <v>101</v>
      </c>
      <c r="L10" s="608" t="s">
        <v>104</v>
      </c>
      <c r="M10" s="607" t="s">
        <v>133</v>
      </c>
      <c r="N10" s="609" t="str">
        <f>"Total Debt"&amp;CHAR(10)&amp;"("&amp;$C$6&amp;" '"&amp;LEFT(C7,1)&amp;")"</f>
        <v>Total Debt
(USD 'm)</v>
      </c>
      <c r="O10" s="607" t="s">
        <v>106</v>
      </c>
      <c r="P10" s="607" t="s">
        <v>107</v>
      </c>
      <c r="Q10" s="607" t="s">
        <v>312</v>
      </c>
    </row>
    <row r="11" spans="1:22">
      <c r="B11" s="648"/>
      <c r="C11" s="649"/>
      <c r="D11" s="649"/>
      <c r="E11" s="650"/>
      <c r="F11" s="651"/>
      <c r="G11" s="651"/>
      <c r="H11" s="651"/>
      <c r="I11" s="460"/>
      <c r="J11" s="460"/>
      <c r="K11" s="460"/>
      <c r="L11" s="461"/>
      <c r="M11" s="461"/>
      <c r="N11" s="642"/>
      <c r="O11" s="643"/>
      <c r="P11" s="643"/>
      <c r="Q11" s="642"/>
    </row>
    <row r="12" spans="1:22" ht="20">
      <c r="B12" s="462" t="s">
        <v>2</v>
      </c>
      <c r="C12" s="463" t="s">
        <v>123</v>
      </c>
      <c r="D12" s="563" t="s">
        <v>122</v>
      </c>
      <c r="E12" s="464" t="s">
        <v>121</v>
      </c>
      <c r="F12" s="464" t="s">
        <v>83</v>
      </c>
      <c r="G12" s="464" t="s">
        <v>130</v>
      </c>
      <c r="H12" s="466" t="s">
        <v>385</v>
      </c>
      <c r="I12" s="465" t="s">
        <v>119</v>
      </c>
      <c r="J12" s="466" t="s">
        <v>120</v>
      </c>
      <c r="K12" s="652" t="s">
        <v>118</v>
      </c>
      <c r="L12" s="467" t="s">
        <v>104</v>
      </c>
      <c r="M12" s="467" t="s">
        <v>105</v>
      </c>
      <c r="N12" s="468" t="s">
        <v>124</v>
      </c>
      <c r="O12" s="463" t="s">
        <v>106</v>
      </c>
      <c r="P12" s="463" t="s">
        <v>107</v>
      </c>
      <c r="Q12" s="428"/>
    </row>
    <row r="13" spans="1:22" ht="10.15" customHeight="1">
      <c r="A13" s="116">
        <v>1</v>
      </c>
      <c r="B13" s="632" t="s">
        <v>586</v>
      </c>
      <c r="C13" s="647" t="s">
        <v>577</v>
      </c>
      <c r="D13" s="632" t="s">
        <v>587</v>
      </c>
      <c r="E13" s="624">
        <v>397291.43635999999</v>
      </c>
      <c r="F13" s="469">
        <v>0.29494700000000001</v>
      </c>
      <c r="G13" s="469">
        <f>IF(Comps[[#This Row],[Ticker]]="","",'Comps Financials'!O9)</f>
        <v>9.5090843021556015E-2</v>
      </c>
      <c r="H13" s="623">
        <v>29.660789999999999</v>
      </c>
      <c r="I13" s="469">
        <f>IF(Comps[[#This Row],[Ticker]]="","",IFERROR(Comps[[#This Row],[Total debt]]/Comps[[#This Row],[Market Cap]],"NA"))</f>
        <v>4.2728927548837441E-2</v>
      </c>
      <c r="J13" s="630">
        <f>IFERROR(Comps[[#This Row],[Adj Beta]]/(1+((1-Comps[[#This Row],[Tax rate]])*Comps[[#This Row],[DE ratio]])),"NA")</f>
        <v>1.3755778942314223</v>
      </c>
      <c r="K13" s="633">
        <v>1.42631</v>
      </c>
      <c r="L13" s="469">
        <v>0.13687099999999999</v>
      </c>
      <c r="M13" s="469"/>
      <c r="N13" s="624">
        <v>16975.837</v>
      </c>
      <c r="O13" s="634" t="s">
        <v>588</v>
      </c>
      <c r="P13" s="634" t="s">
        <v>166</v>
      </c>
      <c r="Q13" s="635">
        <v>46022</v>
      </c>
    </row>
    <row r="14" spans="1:22" ht="10.15" customHeight="1">
      <c r="A14" s="116">
        <v>2</v>
      </c>
      <c r="B14" s="632" t="s">
        <v>589</v>
      </c>
      <c r="C14" s="647" t="s">
        <v>578</v>
      </c>
      <c r="D14" s="632" t="s">
        <v>590</v>
      </c>
      <c r="E14" s="624">
        <v>119674.87065</v>
      </c>
      <c r="F14" s="469">
        <v>0.12789400000000001</v>
      </c>
      <c r="G14" s="469">
        <f>IF(Comps[[#This Row],[Ticker]]="","",'Comps Financials'!O10)</f>
        <v>0.13851860760505286</v>
      </c>
      <c r="H14" s="623">
        <v>46.520620000000001</v>
      </c>
      <c r="I14" s="469">
        <f>IF(Comps[[#This Row],[Ticker]]="","",IFERROR(Comps[[#This Row],[Total debt]]/Comps[[#This Row],[Market Cap]],"NA"))</f>
        <v>1.9190188362238268E-2</v>
      </c>
      <c r="J14" s="630">
        <f>IFERROR(Comps[[#This Row],[Adj Beta]]/(1+((1-Comps[[#This Row],[Tax rate]])*Comps[[#This Row],[DE ratio]])),"NA")</f>
        <v>1.3941110795912517</v>
      </c>
      <c r="K14" s="633">
        <v>1.42072</v>
      </c>
      <c r="L14" s="469">
        <v>5.3949999999999996E-3</v>
      </c>
      <c r="M14" s="469"/>
      <c r="N14" s="624">
        <v>2296.58331</v>
      </c>
      <c r="O14" s="634" t="s">
        <v>591</v>
      </c>
      <c r="P14" s="634" t="s">
        <v>146</v>
      </c>
      <c r="Q14" s="625"/>
    </row>
    <row r="15" spans="1:22" ht="10.15" customHeight="1">
      <c r="A15" s="116">
        <v>3</v>
      </c>
      <c r="B15" s="632" t="s">
        <v>592</v>
      </c>
      <c r="C15" s="647" t="s">
        <v>579</v>
      </c>
      <c r="D15" s="632" t="s">
        <v>593</v>
      </c>
      <c r="E15" s="624">
        <v>16029.58964</v>
      </c>
      <c r="F15" s="867">
        <v>-5.3999999999999998E-5</v>
      </c>
      <c r="G15" s="469">
        <f>IF(Comps[[#This Row],[Ticker]]="","",'Comps Financials'!O11)</f>
        <v>0.14157920648083655</v>
      </c>
      <c r="H15" s="623">
        <v>57.012140000000002</v>
      </c>
      <c r="I15" s="469">
        <f>IF(Comps[[#This Row],[Ticker]]="","",IFERROR(Comps[[#This Row],[Total debt]]/Comps[[#This Row],[Market Cap]],"NA"))</f>
        <v>3.264737349820266E-2</v>
      </c>
      <c r="J15" s="630">
        <f>IFERROR(Comps[[#This Row],[Adj Beta]]/(1+((1-Comps[[#This Row],[Tax rate]])*Comps[[#This Row],[DE ratio]])),"NA")</f>
        <v>2.2946628556315694</v>
      </c>
      <c r="K15" s="633">
        <v>2.3651599999999999</v>
      </c>
      <c r="L15" s="469">
        <v>5.8968E-2</v>
      </c>
      <c r="M15" s="469"/>
      <c r="N15" s="624">
        <v>523.32399999999996</v>
      </c>
      <c r="O15" s="634" t="s">
        <v>588</v>
      </c>
      <c r="P15" s="634" t="s">
        <v>166</v>
      </c>
      <c r="Q15" s="636">
        <v>46022</v>
      </c>
    </row>
    <row r="16" spans="1:22" ht="10.15" customHeight="1">
      <c r="A16" s="116">
        <v>4</v>
      </c>
      <c r="B16" s="632" t="s">
        <v>594</v>
      </c>
      <c r="C16" s="647" t="s">
        <v>580</v>
      </c>
      <c r="D16" s="632" t="s">
        <v>595</v>
      </c>
      <c r="E16" s="624">
        <v>1848.8809900000001</v>
      </c>
      <c r="F16" s="469">
        <v>8.4019999999999997E-3</v>
      </c>
      <c r="G16" s="469">
        <f>IF(Comps[[#This Row],[Ticker]]="","",'Comps Financials'!O12)</f>
        <v>-5.9290149007727444E-2</v>
      </c>
      <c r="H16" s="623">
        <v>2.7371799999999999</v>
      </c>
      <c r="I16" s="469">
        <f>IF(Comps[[#This Row],[Ticker]]="","",IFERROR(Comps[[#This Row],[Total debt]]/Comps[[#This Row],[Market Cap]],"NA"))</f>
        <v>1.1789449628123443</v>
      </c>
      <c r="J16" s="630" t="str">
        <f>IFERROR(Comps[[#This Row],[Adj Beta]]/(1+((1-Comps[[#This Row],[Tax rate]])*Comps[[#This Row],[DE ratio]])),"NA")</f>
        <v>NA</v>
      </c>
      <c r="K16" s="633">
        <v>0.93</v>
      </c>
      <c r="L16" s="469" t="s">
        <v>165</v>
      </c>
      <c r="M16" s="469"/>
      <c r="N16" s="624">
        <v>2179.7289300000002</v>
      </c>
      <c r="O16" s="634" t="s">
        <v>588</v>
      </c>
      <c r="P16" s="634" t="s">
        <v>596</v>
      </c>
      <c r="Q16" s="625">
        <v>46022</v>
      </c>
    </row>
    <row r="17" spans="1:17" ht="10.15" customHeight="1">
      <c r="A17" s="116">
        <v>5</v>
      </c>
      <c r="B17" s="632" t="s">
        <v>597</v>
      </c>
      <c r="C17" s="647" t="s">
        <v>581</v>
      </c>
      <c r="D17" s="632" t="s">
        <v>598</v>
      </c>
      <c r="E17" s="624">
        <v>10174.466570000001</v>
      </c>
      <c r="F17" s="469">
        <v>3.7052000000000002E-2</v>
      </c>
      <c r="G17" s="469">
        <f>IF(Comps[[#This Row],[Ticker]]="","",'Comps Financials'!O13)</f>
        <v>6.4054184426631799E-2</v>
      </c>
      <c r="H17" s="623">
        <v>19.779119999999999</v>
      </c>
      <c r="I17" s="469">
        <f>IF(Comps[[#This Row],[Ticker]]="","",IFERROR(Comps[[#This Row],[Total debt]]/Comps[[#This Row],[Market Cap]],"NA"))</f>
        <v>0.13798873192425259</v>
      </c>
      <c r="J17" s="630">
        <f>IFERROR(Comps[[#This Row],[Adj Beta]]/(1+((1-Comps[[#This Row],[Tax rate]])*Comps[[#This Row],[DE ratio]])),"NA")</f>
        <v>1.0603852309666699</v>
      </c>
      <c r="K17" s="633">
        <v>1.2046300000000001</v>
      </c>
      <c r="L17" s="469">
        <v>1.4191E-2</v>
      </c>
      <c r="M17" s="469"/>
      <c r="N17" s="624">
        <v>1403.96174</v>
      </c>
      <c r="O17" s="634" t="s">
        <v>588</v>
      </c>
      <c r="P17" s="634" t="s">
        <v>596</v>
      </c>
      <c r="Q17" s="636">
        <v>46022</v>
      </c>
    </row>
    <row r="18" spans="1:17" ht="10.15" customHeight="1">
      <c r="A18" s="116">
        <v>6</v>
      </c>
      <c r="B18" s="632" t="s">
        <v>599</v>
      </c>
      <c r="C18" s="647" t="s">
        <v>582</v>
      </c>
      <c r="D18" s="632" t="s">
        <v>600</v>
      </c>
      <c r="E18" s="624">
        <v>203112.31200999999</v>
      </c>
      <c r="F18" s="469">
        <v>0.14924999999999999</v>
      </c>
      <c r="G18" s="469">
        <f>IF(Comps[[#This Row],[Ticker]]="","",'Comps Financials'!O14)</f>
        <v>0.10661102641410714</v>
      </c>
      <c r="H18" s="623">
        <v>11.781829999999999</v>
      </c>
      <c r="I18" s="469">
        <f>IF(Comps[[#This Row],[Ticker]]="","",IFERROR(Comps[[#This Row],[Total debt]]/Comps[[#This Row],[Market Cap]],"NA"))</f>
        <v>0.22962665108013608</v>
      </c>
      <c r="J18" s="630" t="str">
        <f>IFERROR(Comps[[#This Row],[Adj Beta]]/(1+((1-Comps[[#This Row],[Tax rate]])*Comps[[#This Row],[DE ratio]])),"NA")</f>
        <v>NA</v>
      </c>
      <c r="K18" s="633">
        <v>1.0279499999999999</v>
      </c>
      <c r="L18" s="469" t="s">
        <v>165</v>
      </c>
      <c r="M18" s="469"/>
      <c r="N18" s="624">
        <v>46640</v>
      </c>
      <c r="O18" s="634" t="s">
        <v>591</v>
      </c>
      <c r="P18" s="634" t="s">
        <v>166</v>
      </c>
      <c r="Q18" s="625">
        <v>45927</v>
      </c>
    </row>
    <row r="19" spans="1:17" ht="10.15" customHeight="1">
      <c r="A19" s="116">
        <v>7</v>
      </c>
      <c r="B19" s="632" t="s">
        <v>601</v>
      </c>
      <c r="C19" s="647" t="s">
        <v>583</v>
      </c>
      <c r="D19" s="632" t="s">
        <v>602</v>
      </c>
      <c r="E19" s="624">
        <v>71458.806349999999</v>
      </c>
      <c r="F19" s="469">
        <v>4.4991000000000003E-2</v>
      </c>
      <c r="G19" s="469">
        <f>IF(Comps[[#This Row],[Ticker]]="","",'Comps Financials'!O15)</f>
        <v>0.47750312335367018</v>
      </c>
      <c r="H19" s="623">
        <v>12.459160000000001</v>
      </c>
      <c r="I19" s="469">
        <f>IF(Comps[[#This Row],[Ticker]]="","",IFERROR(Comps[[#This Row],[Total debt]]/Comps[[#This Row],[Market Cap]],"NA"))</f>
        <v>0.51443624484779826</v>
      </c>
      <c r="J19" s="630">
        <f>IFERROR(Comps[[#This Row],[Adj Beta]]/(1+((1-Comps[[#This Row],[Tax rate]])*Comps[[#This Row],[DE ratio]])),"NA")</f>
        <v>0.98298896514761336</v>
      </c>
      <c r="K19" s="633">
        <v>1.21408</v>
      </c>
      <c r="L19" s="469">
        <v>0.543014</v>
      </c>
      <c r="M19" s="469"/>
      <c r="N19" s="624">
        <v>36761</v>
      </c>
      <c r="O19" s="634" t="s">
        <v>588</v>
      </c>
      <c r="P19" s="634" t="s">
        <v>166</v>
      </c>
      <c r="Q19" s="636">
        <v>46022</v>
      </c>
    </row>
    <row r="20" spans="1:17" ht="10.15" customHeight="1">
      <c r="A20" s="116">
        <v>8</v>
      </c>
      <c r="B20" s="632" t="s">
        <v>603</v>
      </c>
      <c r="C20" s="647" t="s">
        <v>584</v>
      </c>
      <c r="D20" s="632" t="s">
        <v>604</v>
      </c>
      <c r="E20" s="624">
        <v>14706.50117</v>
      </c>
      <c r="F20" s="469">
        <v>6.5313999999999997E-2</v>
      </c>
      <c r="G20" s="469">
        <f>IF(Comps[[#This Row],[Ticker]]="","",'Comps Financials'!O16)</f>
        <v>7.258458559833203E-3</v>
      </c>
      <c r="H20" s="623">
        <v>11.41535</v>
      </c>
      <c r="I20" s="306">
        <f>IF(Comps[[#This Row],[Ticker]]="","",IFERROR(Comps[[#This Row],[Total debt]]/Comps[[#This Row],[Market Cap]],"NA"))</f>
        <v>1.0262128174161769</v>
      </c>
      <c r="J20" s="630" t="str">
        <f>IFERROR(Comps[[#This Row],[Adj Beta]]/(1+((1-Comps[[#This Row],[Tax rate]])*Comps[[#This Row],[DE ratio]])),"NA")</f>
        <v>NA</v>
      </c>
      <c r="K20" s="633">
        <v>1.0489999999999999</v>
      </c>
      <c r="L20" s="470" t="s">
        <v>165</v>
      </c>
      <c r="M20" s="470"/>
      <c r="N20" s="624">
        <v>15092</v>
      </c>
      <c r="O20" s="634" t="s">
        <v>588</v>
      </c>
      <c r="P20" s="634" t="s">
        <v>166</v>
      </c>
      <c r="Q20" s="625">
        <v>46022</v>
      </c>
    </row>
    <row r="21" spans="1:17" ht="10.15" customHeight="1">
      <c r="A21" s="116">
        <v>9</v>
      </c>
      <c r="B21" s="632" t="s">
        <v>605</v>
      </c>
      <c r="C21" s="647" t="s">
        <v>585</v>
      </c>
      <c r="D21" s="632" t="s">
        <v>606</v>
      </c>
      <c r="E21" s="624">
        <v>108916.00675</v>
      </c>
      <c r="F21" s="469">
        <v>0.16708799999999999</v>
      </c>
      <c r="G21" s="469">
        <f>IF(Comps[[#This Row],[Ticker]]="","",'Comps Financials'!O17)</f>
        <v>2.0611609169991274E-2</v>
      </c>
      <c r="H21" s="623">
        <v>5.1501799999999998</v>
      </c>
      <c r="I21" s="306">
        <f>IF(Comps[[#This Row],[Ticker]]="","",IFERROR(Comps[[#This Row],[Total debt]]/Comps[[#This Row],[Market Cap]],"NA"))</f>
        <v>0.96434861260647531</v>
      </c>
      <c r="J21" s="630">
        <f>IFERROR(Comps[[#This Row],[Adj Beta]]/(1+((1-Comps[[#This Row],[Tax rate]])*Comps[[#This Row],[DE ratio]])),"NA")</f>
        <v>0.35571676904979621</v>
      </c>
      <c r="K21" s="633">
        <v>0.61746000000000001</v>
      </c>
      <c r="L21" s="470">
        <v>0.23697799999999999</v>
      </c>
      <c r="M21" s="470"/>
      <c r="N21" s="624">
        <v>105033</v>
      </c>
      <c r="O21" s="634" t="s">
        <v>588</v>
      </c>
      <c r="P21" s="634" t="s">
        <v>166</v>
      </c>
      <c r="Q21" s="636">
        <v>46022</v>
      </c>
    </row>
    <row r="22" spans="1:17" ht="10.15" customHeight="1">
      <c r="A22" s="116">
        <v>10</v>
      </c>
      <c r="B22" s="632"/>
      <c r="C22" s="647"/>
      <c r="D22" s="632"/>
      <c r="E22" s="624"/>
      <c r="F22" s="469"/>
      <c r="G22" s="469" t="str">
        <f>IF(Comps[[#This Row],[Ticker]]="","",'Comps Financials'!O18)</f>
        <v/>
      </c>
      <c r="H22" s="623"/>
      <c r="I22" s="306" t="str">
        <f>IF(Comps[[#This Row],[Ticker]]="","",IFERROR(Comps[[#This Row],[Total debt]]/Comps[[#This Row],[Market Cap]],"NA"))</f>
        <v/>
      </c>
      <c r="J22" s="630" t="str">
        <f>IFERROR(Comps[[#This Row],[Adj Beta]]/(1+((1-Comps[[#This Row],[Tax rate]])*Comps[[#This Row],[DE ratio]])),"NA")</f>
        <v>NA</v>
      </c>
      <c r="K22" s="633"/>
      <c r="L22" s="470"/>
      <c r="M22" s="470"/>
      <c r="N22" s="624"/>
      <c r="O22" s="634"/>
      <c r="P22" s="634"/>
      <c r="Q22" s="625"/>
    </row>
    <row r="23" spans="1:17" ht="10.15" customHeight="1">
      <c r="A23" s="116">
        <v>11</v>
      </c>
      <c r="B23" s="632"/>
      <c r="C23" s="647"/>
      <c r="D23" s="632"/>
      <c r="E23" s="624"/>
      <c r="F23" s="469"/>
      <c r="G23" s="469" t="str">
        <f>IF(Comps[[#This Row],[Ticker]]="","",'Comps Financials'!O19)</f>
        <v/>
      </c>
      <c r="H23" s="623"/>
      <c r="I23" s="306" t="str">
        <f>IF(Comps[[#This Row],[Ticker]]="","",IFERROR(Comps[[#This Row],[Total debt]]/Comps[[#This Row],[Market Cap]],"NA"))</f>
        <v/>
      </c>
      <c r="J23" s="630" t="str">
        <f>IFERROR(Comps[[#This Row],[Adj Beta]]/(1+((1-Comps[[#This Row],[Tax rate]])*Comps[[#This Row],[DE ratio]])),"NA")</f>
        <v>NA</v>
      </c>
      <c r="K23" s="633"/>
      <c r="L23" s="470"/>
      <c r="M23" s="470"/>
      <c r="N23" s="624"/>
      <c r="O23" s="634"/>
      <c r="P23" s="634"/>
      <c r="Q23" s="636"/>
    </row>
    <row r="24" spans="1:17" ht="10.15" customHeight="1">
      <c r="A24" s="116">
        <v>12</v>
      </c>
      <c r="B24" s="632"/>
      <c r="C24" s="647"/>
      <c r="D24" s="632"/>
      <c r="E24" s="624"/>
      <c r="F24" s="469"/>
      <c r="G24" s="469" t="str">
        <f>IF(Comps[[#This Row],[Ticker]]="","",'Comps Financials'!O20)</f>
        <v/>
      </c>
      <c r="H24" s="623"/>
      <c r="I24" s="306" t="str">
        <f>IF(Comps[[#This Row],[Ticker]]="","",IFERROR(Comps[[#This Row],[Total debt]]/Comps[[#This Row],[Market Cap]],"NA"))</f>
        <v/>
      </c>
      <c r="J24" s="630" t="str">
        <f>IFERROR(Comps[[#This Row],[Adj Beta]]/(1+((1-Comps[[#This Row],[Tax rate]])*Comps[[#This Row],[DE ratio]])),"NA")</f>
        <v>NA</v>
      </c>
      <c r="K24" s="633"/>
      <c r="L24" s="470"/>
      <c r="M24" s="470"/>
      <c r="N24" s="624"/>
      <c r="O24" s="634"/>
      <c r="P24" s="634"/>
      <c r="Q24" s="625"/>
    </row>
    <row r="25" spans="1:17" ht="10.15" customHeight="1">
      <c r="A25" s="116">
        <v>13</v>
      </c>
      <c r="B25" s="632"/>
      <c r="C25" s="647"/>
      <c r="D25" s="632"/>
      <c r="E25" s="624"/>
      <c r="F25" s="469"/>
      <c r="G25" s="469" t="str">
        <f>IF(Comps[[#This Row],[Ticker]]="","",'Comps Financials'!O21)</f>
        <v/>
      </c>
      <c r="H25" s="623"/>
      <c r="I25" s="306" t="str">
        <f>IF(Comps[[#This Row],[Ticker]]="","",IFERROR(Comps[[#This Row],[Total debt]]/Comps[[#This Row],[Market Cap]],"NA"))</f>
        <v/>
      </c>
      <c r="J25" s="630" t="str">
        <f>IFERROR(Comps[[#This Row],[Adj Beta]]/(1+((1-Comps[[#This Row],[Tax rate]])*Comps[[#This Row],[DE ratio]])),"NA")</f>
        <v>NA</v>
      </c>
      <c r="K25" s="633"/>
      <c r="L25" s="470"/>
      <c r="M25" s="470"/>
      <c r="N25" s="624"/>
      <c r="O25" s="634"/>
      <c r="P25" s="634"/>
      <c r="Q25" s="636"/>
    </row>
    <row r="26" spans="1:17" ht="10.15" customHeight="1">
      <c r="A26" s="116">
        <v>14</v>
      </c>
      <c r="B26" s="632"/>
      <c r="C26" s="647"/>
      <c r="D26" s="632"/>
      <c r="E26" s="624"/>
      <c r="F26" s="469"/>
      <c r="G26" s="469" t="str">
        <f>IF(Comps[[#This Row],[Ticker]]="","",'Comps Financials'!O22)</f>
        <v/>
      </c>
      <c r="H26" s="623"/>
      <c r="I26" s="306" t="str">
        <f>IF(Comps[[#This Row],[Ticker]]="","",IFERROR(Comps[[#This Row],[Total debt]]/Comps[[#This Row],[Market Cap]],"NA"))</f>
        <v/>
      </c>
      <c r="J26" s="630" t="str">
        <f>IFERROR(Comps[[#This Row],[Adj Beta]]/(1+((1-Comps[[#This Row],[Tax rate]])*Comps[[#This Row],[DE ratio]])),"NA")</f>
        <v>NA</v>
      </c>
      <c r="K26" s="633"/>
      <c r="L26" s="470"/>
      <c r="M26" s="470"/>
      <c r="N26" s="624"/>
      <c r="O26" s="634"/>
      <c r="P26" s="634"/>
      <c r="Q26" s="625"/>
    </row>
    <row r="27" spans="1:17" ht="10.15" customHeight="1">
      <c r="A27" s="116">
        <v>15</v>
      </c>
      <c r="B27" s="637"/>
      <c r="C27" s="647"/>
      <c r="D27" s="637"/>
      <c r="E27" s="638"/>
      <c r="F27" s="626"/>
      <c r="G27" s="626" t="str">
        <f>IF(Comps[[#This Row],[Ticker]]="","",'Comps Financials'!O23)</f>
        <v/>
      </c>
      <c r="H27" s="627"/>
      <c r="I27" s="628" t="str">
        <f>IF(Comps[[#This Row],[Ticker]]="","",IFERROR(Comps[[#This Row],[Total debt]]/Comps[[#This Row],[Market Cap]],"NA"))</f>
        <v/>
      </c>
      <c r="J27" s="631" t="str">
        <f>IFERROR(Comps[[#This Row],[Adj Beta]]/(1+((1-Comps[[#This Row],[Tax rate]])*Comps[[#This Row],[DE ratio]])),"NA")</f>
        <v>NA</v>
      </c>
      <c r="K27" s="639"/>
      <c r="L27" s="629"/>
      <c r="M27" s="629"/>
      <c r="N27" s="638"/>
      <c r="O27" s="640"/>
      <c r="P27" s="640"/>
      <c r="Q27" s="641"/>
    </row>
    <row r="28" spans="1:17">
      <c r="B28" s="665" t="s">
        <v>390</v>
      </c>
      <c r="D28" s="476" t="s">
        <v>116</v>
      </c>
      <c r="E28" s="569">
        <f>MAX(Comps[Market Cap])</f>
        <v>397291.43635999999</v>
      </c>
      <c r="F28" s="570">
        <f>MAX(Comps[EBIT margin])</f>
        <v>0.29494700000000001</v>
      </c>
      <c r="G28" s="570">
        <f>MAX(Comps[CAGR])</f>
        <v>0.47750312335367018</v>
      </c>
      <c r="H28" s="449">
        <f>MAX(Comps[Selected Multiple])</f>
        <v>57.012140000000002</v>
      </c>
      <c r="I28" s="570">
        <f>MAX(Comps[DE ratio])</f>
        <v>1.1789449628123443</v>
      </c>
      <c r="J28" s="571">
        <f>MAX(Comps[Unlv.beta])</f>
        <v>2.2946628556315694</v>
      </c>
      <c r="K28" s="166">
        <f>MAX(Comps[Adj Beta])</f>
        <v>2.3651599999999999</v>
      </c>
    </row>
    <row r="29" spans="1:17" ht="10.5">
      <c r="B29" s="13"/>
      <c r="C29" s="13"/>
      <c r="D29" s="471" t="s">
        <v>117</v>
      </c>
      <c r="E29" s="572">
        <f>IFERROR(MEDIAN(Comps[Market Cap]),"NA")</f>
        <v>71458.806349999999</v>
      </c>
      <c r="F29" s="573">
        <f>IFERROR(MEDIAN(Comps[EBIT margin]),"NA")</f>
        <v>6.5313999999999997E-2</v>
      </c>
      <c r="G29" s="573" t="str">
        <f>IF(MEDIAN(Comps[CAGR]),"NA")</f>
        <v>NA</v>
      </c>
      <c r="H29" s="449">
        <f>IFERROR(MEDIAN(Comps[Selected Multiple]),"NA")</f>
        <v>12.459160000000001</v>
      </c>
      <c r="I29" s="573">
        <f>IFERROR(MEDIAN(Comps[DE ratio]),"NA")</f>
        <v>0.22962665108013608</v>
      </c>
      <c r="J29" s="574">
        <f>IFERROR(MEDIAN(Comps[Unlv.beta]),"NA")</f>
        <v>1.217981562599046</v>
      </c>
      <c r="K29" s="845">
        <f>MEDIAN(Comps[Adj Beta])</f>
        <v>1.2046300000000001</v>
      </c>
    </row>
    <row r="30" spans="1:17" ht="10.5">
      <c r="B30" s="472" t="s">
        <v>129</v>
      </c>
      <c r="C30" s="473"/>
      <c r="D30" s="474" t="s">
        <v>131</v>
      </c>
      <c r="E30" s="569">
        <f>MIN(Comps[Market Cap])</f>
        <v>1848.8809900000001</v>
      </c>
      <c r="F30" s="570">
        <f>MIN(Comps[EBIT margin])</f>
        <v>-5.3999999999999998E-5</v>
      </c>
      <c r="G30" s="570">
        <f>MIN(Comps[CAGR])</f>
        <v>-5.9290149007727444E-2</v>
      </c>
      <c r="H30" s="449">
        <f>MIN(Comps[Selected Multiple])</f>
        <v>2.7371799999999999</v>
      </c>
      <c r="I30" s="570">
        <f>MIN(Comps[DE ratio])</f>
        <v>1.9190188362238268E-2</v>
      </c>
      <c r="J30" s="571">
        <f>MIN(Comps[Unlv.beta])</f>
        <v>0.35571676904979621</v>
      </c>
      <c r="K30" s="166">
        <f>MIN(Comps[Adj Beta])</f>
        <v>0.61746000000000001</v>
      </c>
    </row>
    <row r="31" spans="1:17" ht="10.5">
      <c r="B31" s="475" t="s">
        <v>306</v>
      </c>
      <c r="C31" s="473"/>
      <c r="D31" s="473"/>
      <c r="E31" s="13"/>
      <c r="F31" s="13"/>
      <c r="G31" s="13"/>
      <c r="H31" s="13"/>
      <c r="I31" s="13"/>
      <c r="J31" s="13"/>
    </row>
    <row r="32" spans="1:17">
      <c r="B32" s="270"/>
    </row>
    <row r="34" spans="2:5" ht="10.5">
      <c r="C34" s="602"/>
      <c r="D34" s="603"/>
    </row>
    <row r="35" spans="2:5">
      <c r="B35" s="270"/>
    </row>
    <row r="37" spans="2:5" outlineLevel="1"/>
    <row r="38" spans="2:5" outlineLevel="1"/>
    <row r="39" spans="2:5" outlineLevel="1"/>
    <row r="40" spans="2:5" outlineLevel="1"/>
    <row r="41" spans="2:5" outlineLevel="1"/>
    <row r="42" spans="2:5" ht="19" outlineLevel="1">
      <c r="B42" s="17" t="s">
        <v>148</v>
      </c>
    </row>
    <row r="43" spans="2:5" outlineLevel="1"/>
    <row r="44" spans="2:5" ht="10.5" outlineLevel="1">
      <c r="C44" s="653" t="s">
        <v>148</v>
      </c>
      <c r="D44" s="653"/>
      <c r="E44" s="653"/>
    </row>
    <row r="45" spans="2:5" ht="10.5" outlineLevel="1">
      <c r="C45" s="477" t="s">
        <v>138</v>
      </c>
      <c r="D45" s="477" t="s">
        <v>139</v>
      </c>
      <c r="E45" s="478" t="s">
        <v>365</v>
      </c>
    </row>
    <row r="46" spans="2:5" outlineLevel="1">
      <c r="C46" s="479" t="s">
        <v>140</v>
      </c>
      <c r="D46" s="598" t="s">
        <v>315</v>
      </c>
      <c r="E46" s="566">
        <v>4.7379999999999999E-2</v>
      </c>
    </row>
    <row r="47" spans="2:5" outlineLevel="1">
      <c r="C47" s="479" t="s">
        <v>141</v>
      </c>
      <c r="D47" s="598" t="s">
        <v>316</v>
      </c>
      <c r="E47" s="566">
        <v>3.5299999999999998E-2</v>
      </c>
    </row>
    <row r="48" spans="2:5" outlineLevel="1">
      <c r="C48" s="479" t="s">
        <v>142</v>
      </c>
      <c r="D48" s="598" t="s">
        <v>317</v>
      </c>
      <c r="E48" s="566">
        <v>2.7529999999999999E-2</v>
      </c>
    </row>
    <row r="49" spans="1:28" outlineLevel="1">
      <c r="C49" s="479" t="s">
        <v>143</v>
      </c>
      <c r="D49" s="598" t="s">
        <v>318</v>
      </c>
      <c r="E49" s="566">
        <v>2.9610000000000001E-2</v>
      </c>
    </row>
    <row r="50" spans="1:28" outlineLevel="1">
      <c r="C50" s="479" t="s">
        <v>144</v>
      </c>
      <c r="D50" s="598" t="s">
        <v>319</v>
      </c>
      <c r="E50" s="566">
        <v>3.0980000000000001E-2</v>
      </c>
    </row>
    <row r="51" spans="1:28" outlineLevel="1">
      <c r="C51" s="479" t="s">
        <v>145</v>
      </c>
      <c r="D51" s="598" t="s">
        <v>320</v>
      </c>
      <c r="E51" s="566">
        <v>2.2249600000000001E-2</v>
      </c>
    </row>
    <row r="52" spans="1:28" outlineLevel="1">
      <c r="C52" s="479" t="s">
        <v>146</v>
      </c>
      <c r="D52" s="598" t="s">
        <v>321</v>
      </c>
      <c r="E52" s="566">
        <v>2.7519999999999999E-2</v>
      </c>
    </row>
    <row r="53" spans="1:28" outlineLevel="1">
      <c r="C53" s="479" t="s">
        <v>147</v>
      </c>
      <c r="D53" s="598" t="s">
        <v>322</v>
      </c>
      <c r="E53" s="567">
        <v>3.1700000000000001E-3</v>
      </c>
    </row>
    <row r="54" spans="1:28" ht="10.5" outlineLevel="1" thickBot="1">
      <c r="C54" s="480" t="s">
        <v>166</v>
      </c>
      <c r="D54" s="599" t="s">
        <v>323</v>
      </c>
      <c r="E54" s="568">
        <v>4.1799999999999997E-2</v>
      </c>
    </row>
    <row r="55" spans="1:28" outlineLevel="1"/>
    <row r="56" spans="1:28" ht="19">
      <c r="B56" s="17" t="s">
        <v>368</v>
      </c>
    </row>
    <row r="57" spans="1:28" ht="10.5">
      <c r="A57" t="s">
        <v>363</v>
      </c>
      <c r="B57" s="600" t="s">
        <v>335</v>
      </c>
      <c r="C57" s="105" t="s">
        <v>364</v>
      </c>
      <c r="D57" s="600" t="s">
        <v>361</v>
      </c>
      <c r="E57" s="562" t="str">
        <f>VLOOKUP($D$57,$Y$58:$Z$60,2,0)</f>
        <v>_ANNUAL</v>
      </c>
      <c r="U57" s="19" t="s">
        <v>332</v>
      </c>
      <c r="V57" s="19" t="s">
        <v>333</v>
      </c>
      <c r="W57" s="19" t="s">
        <v>334</v>
      </c>
      <c r="Y57" s="19" t="s">
        <v>355</v>
      </c>
      <c r="Z57" s="19" t="s">
        <v>356</v>
      </c>
      <c r="AB57" s="148" t="s">
        <v>331</v>
      </c>
    </row>
    <row r="58" spans="1:28" ht="10.5">
      <c r="B58" s="562" t="str">
        <f>VLOOKUP($B$57,$V$58:$W$70,2)</f>
        <v>AllCorp</v>
      </c>
      <c r="C58" s="664" t="s">
        <v>283</v>
      </c>
      <c r="D58" s="653"/>
      <c r="E58" s="653"/>
      <c r="F58" s="653"/>
      <c r="U58" s="71" t="s">
        <v>264</v>
      </c>
      <c r="V58" t="s">
        <v>335</v>
      </c>
      <c r="W58" t="s">
        <v>336</v>
      </c>
      <c r="Y58" t="s">
        <v>357</v>
      </c>
      <c r="Z58" t="s">
        <v>358</v>
      </c>
      <c r="AB58" s="71">
        <v>1</v>
      </c>
    </row>
    <row r="59" spans="1:28" ht="10.5">
      <c r="A59" t="s">
        <v>331</v>
      </c>
      <c r="B59" t="s">
        <v>328</v>
      </c>
      <c r="C59" s="418" t="s">
        <v>139</v>
      </c>
      <c r="D59" s="418" t="s">
        <v>122</v>
      </c>
      <c r="E59" s="459" t="s">
        <v>280</v>
      </c>
      <c r="F59" s="481" t="s">
        <v>281</v>
      </c>
      <c r="U59" s="71" t="s">
        <v>265</v>
      </c>
      <c r="V59" t="s">
        <v>337</v>
      </c>
      <c r="W59" t="s">
        <v>338</v>
      </c>
      <c r="Y59" t="s">
        <v>359</v>
      </c>
      <c r="Z59" t="s">
        <v>360</v>
      </c>
      <c r="AB59" s="71">
        <v>2</v>
      </c>
    </row>
    <row r="60" spans="1:28">
      <c r="A60" s="601">
        <v>10</v>
      </c>
      <c r="B60" s="600" t="s">
        <v>264</v>
      </c>
      <c r="C60" s="558" t="s">
        <v>37</v>
      </c>
      <c r="D60" s="558" t="str">
        <f>IF(OR($C60="",$B60="",$A60=""),"",$C60&amp;" "&amp;$B60&amp;" "&amp;$A60&amp;"Y")</f>
        <v>USD AAA 10Y</v>
      </c>
      <c r="E60" s="567">
        <v>4.6730000000000001E-2</v>
      </c>
      <c r="F60" s="645">
        <f>IF(OR($C60="",$B60="",$A60=""),"",E60-$E$54)</f>
        <v>4.9300000000000038E-3</v>
      </c>
      <c r="U60" s="71" t="s">
        <v>267</v>
      </c>
      <c r="V60" t="s">
        <v>339</v>
      </c>
      <c r="W60" t="s">
        <v>340</v>
      </c>
      <c r="Y60" t="s">
        <v>361</v>
      </c>
      <c r="Z60" t="s">
        <v>362</v>
      </c>
      <c r="AB60" s="71">
        <v>3</v>
      </c>
    </row>
    <row r="61" spans="1:28">
      <c r="A61" s="601">
        <v>10</v>
      </c>
      <c r="B61" s="600" t="s">
        <v>265</v>
      </c>
      <c r="C61" s="558" t="s">
        <v>37</v>
      </c>
      <c r="D61" s="558" t="str">
        <f t="shared" ref="D61:D66" si="0">IF(OR($C61="",$B61="",$A61=""),"",$C61&amp;" "&amp;$B61&amp;" "&amp;$A61&amp;"Y")</f>
        <v>USD AA 10Y</v>
      </c>
      <c r="E61" s="567">
        <v>5.0130000000000001E-2</v>
      </c>
      <c r="F61" s="645">
        <f t="shared" ref="F61:F66" si="1">IF(OR($C61="",$B61="",$A61=""),"",E61-$E$54)</f>
        <v>8.3300000000000041E-3</v>
      </c>
      <c r="U61" s="71" t="s">
        <v>269</v>
      </c>
      <c r="V61" t="s">
        <v>341</v>
      </c>
      <c r="W61" t="s">
        <v>341</v>
      </c>
      <c r="AB61" s="71">
        <v>4</v>
      </c>
    </row>
    <row r="62" spans="1:28">
      <c r="A62" s="601">
        <v>10</v>
      </c>
      <c r="B62" s="600" t="s">
        <v>267</v>
      </c>
      <c r="C62" s="558" t="s">
        <v>37</v>
      </c>
      <c r="D62" s="558" t="str">
        <f t="shared" si="0"/>
        <v>USD A 10Y</v>
      </c>
      <c r="E62" s="567">
        <v>5.194E-2</v>
      </c>
      <c r="F62" s="645">
        <f t="shared" si="1"/>
        <v>1.0140000000000003E-2</v>
      </c>
      <c r="U62" s="71" t="s">
        <v>270</v>
      </c>
      <c r="V62" t="s">
        <v>342</v>
      </c>
      <c r="W62" t="s">
        <v>342</v>
      </c>
      <c r="AB62" s="71">
        <v>5</v>
      </c>
    </row>
    <row r="63" spans="1:28">
      <c r="A63" s="601">
        <v>10</v>
      </c>
      <c r="B63" s="600" t="s">
        <v>269</v>
      </c>
      <c r="C63" s="558" t="s">
        <v>37</v>
      </c>
      <c r="D63" s="558" t="str">
        <f t="shared" si="0"/>
        <v>USD BBB 10Y</v>
      </c>
      <c r="E63" s="567">
        <v>5.4449999999999998E-2</v>
      </c>
      <c r="F63" s="645">
        <f t="shared" si="1"/>
        <v>1.2650000000000002E-2</v>
      </c>
      <c r="U63" s="71" t="s">
        <v>268</v>
      </c>
      <c r="V63" t="s">
        <v>343</v>
      </c>
      <c r="W63" t="s">
        <v>344</v>
      </c>
      <c r="AB63" s="71">
        <v>6</v>
      </c>
    </row>
    <row r="64" spans="1:28">
      <c r="A64" s="601">
        <v>10</v>
      </c>
      <c r="B64" s="600" t="s">
        <v>270</v>
      </c>
      <c r="C64" s="558" t="s">
        <v>37</v>
      </c>
      <c r="D64" s="558" t="str">
        <f t="shared" si="0"/>
        <v>USD BB 10Y</v>
      </c>
      <c r="E64" s="567">
        <v>6.3810000000000006E-2</v>
      </c>
      <c r="F64" s="645">
        <f t="shared" si="1"/>
        <v>2.2010000000000009E-2</v>
      </c>
      <c r="U64" s="71" t="s">
        <v>266</v>
      </c>
      <c r="V64" t="s">
        <v>345</v>
      </c>
      <c r="W64" t="s">
        <v>345</v>
      </c>
      <c r="AB64" s="71">
        <v>7</v>
      </c>
    </row>
    <row r="65" spans="1:28">
      <c r="A65" s="601">
        <v>10</v>
      </c>
      <c r="B65" s="600" t="s">
        <v>268</v>
      </c>
      <c r="C65" s="558" t="s">
        <v>37</v>
      </c>
      <c r="D65" s="558" t="str">
        <f t="shared" si="0"/>
        <v>USD B 10Y</v>
      </c>
      <c r="E65" s="567">
        <v>7.6189999999999994E-2</v>
      </c>
      <c r="F65" s="645">
        <f t="shared" si="1"/>
        <v>3.4389999999999997E-2</v>
      </c>
      <c r="U65" s="71" t="s">
        <v>329</v>
      </c>
      <c r="V65" t="s">
        <v>346</v>
      </c>
      <c r="W65" t="s">
        <v>347</v>
      </c>
      <c r="AB65" s="71">
        <v>8</v>
      </c>
    </row>
    <row r="66" spans="1:28" ht="10.5" thickBot="1">
      <c r="A66" s="601">
        <v>10</v>
      </c>
      <c r="B66" s="600" t="s">
        <v>329</v>
      </c>
      <c r="C66" s="482" t="s">
        <v>37</v>
      </c>
      <c r="D66" s="482" t="str">
        <f t="shared" si="0"/>
        <v>USD IG 10Y</v>
      </c>
      <c r="E66" s="568">
        <v>5.3190000000000001E-2</v>
      </c>
      <c r="F66" s="441">
        <f t="shared" si="1"/>
        <v>1.1390000000000004E-2</v>
      </c>
      <c r="U66" s="71" t="s">
        <v>330</v>
      </c>
      <c r="V66" t="s">
        <v>348</v>
      </c>
      <c r="W66" t="s">
        <v>348</v>
      </c>
      <c r="AB66" s="71">
        <v>9</v>
      </c>
    </row>
    <row r="67" spans="1:28">
      <c r="V67" t="s">
        <v>349</v>
      </c>
      <c r="W67" t="s">
        <v>350</v>
      </c>
      <c r="AB67" s="71">
        <v>10</v>
      </c>
    </row>
    <row r="68" spans="1:28">
      <c r="V68" t="s">
        <v>191</v>
      </c>
      <c r="W68" t="s">
        <v>351</v>
      </c>
      <c r="AB68" s="71">
        <v>11</v>
      </c>
    </row>
    <row r="69" spans="1:28">
      <c r="V69" t="s">
        <v>352</v>
      </c>
      <c r="W69" t="s">
        <v>353</v>
      </c>
      <c r="AB69" s="71">
        <v>12</v>
      </c>
    </row>
    <row r="70" spans="1:28">
      <c r="V70" t="s">
        <v>354</v>
      </c>
      <c r="W70" t="s">
        <v>354</v>
      </c>
      <c r="AB70" s="71">
        <v>13</v>
      </c>
    </row>
    <row r="71" spans="1:28" ht="19">
      <c r="B71" s="16"/>
      <c r="AB71" s="71">
        <v>14</v>
      </c>
    </row>
    <row r="72" spans="1:28">
      <c r="AB72" s="71">
        <v>15</v>
      </c>
    </row>
    <row r="73" spans="1:28" ht="10.5">
      <c r="C73" s="613"/>
      <c r="D73" s="614"/>
      <c r="E73" s="614"/>
      <c r="AB73" s="71">
        <v>16</v>
      </c>
    </row>
    <row r="74" spans="1:28" ht="10.5">
      <c r="C74" s="615"/>
      <c r="D74" s="616"/>
      <c r="E74" s="617"/>
      <c r="AB74" s="71">
        <v>17</v>
      </c>
    </row>
    <row r="75" spans="1:28">
      <c r="C75" s="618"/>
      <c r="D75" s="619"/>
      <c r="E75" s="611"/>
      <c r="AB75" s="71">
        <v>18</v>
      </c>
    </row>
    <row r="76" spans="1:28">
      <c r="C76" s="618"/>
      <c r="D76" s="619"/>
      <c r="E76" s="611"/>
      <c r="AB76" s="71">
        <v>19</v>
      </c>
    </row>
    <row r="77" spans="1:28">
      <c r="C77" s="618"/>
      <c r="D77" s="619"/>
      <c r="E77" s="611"/>
      <c r="AB77" s="71">
        <v>20</v>
      </c>
    </row>
    <row r="78" spans="1:28">
      <c r="C78" s="618"/>
      <c r="D78" s="619"/>
      <c r="E78" s="611"/>
      <c r="AB78" s="71">
        <v>21</v>
      </c>
    </row>
    <row r="79" spans="1:28">
      <c r="C79" s="618"/>
      <c r="D79" s="619"/>
      <c r="E79" s="611"/>
      <c r="AB79" s="71">
        <v>22</v>
      </c>
    </row>
    <row r="80" spans="1:28">
      <c r="C80" s="618"/>
      <c r="D80" s="619"/>
      <c r="E80" s="611"/>
      <c r="AB80" s="71">
        <v>23</v>
      </c>
    </row>
    <row r="81" spans="3:28">
      <c r="C81" s="618"/>
      <c r="D81" s="619"/>
      <c r="E81" s="611"/>
      <c r="AB81" s="71">
        <v>24</v>
      </c>
    </row>
    <row r="82" spans="3:28">
      <c r="AB82" s="71">
        <v>25</v>
      </c>
    </row>
    <row r="83" spans="3:28">
      <c r="AB83" s="71">
        <v>26</v>
      </c>
    </row>
    <row r="84" spans="3:28">
      <c r="AB84" s="71">
        <v>27</v>
      </c>
    </row>
    <row r="85" spans="3:28">
      <c r="AB85" s="71">
        <v>28</v>
      </c>
    </row>
    <row r="86" spans="3:28">
      <c r="AB86" s="71">
        <v>29</v>
      </c>
    </row>
    <row r="87" spans="3:28">
      <c r="AB87" s="71">
        <v>30</v>
      </c>
    </row>
  </sheetData>
  <mergeCells count="1">
    <mergeCell ref="F4:H4"/>
  </mergeCells>
  <conditionalFormatting sqref="A13:A27">
    <cfRule type="cellIs" dxfId="110" priority="12" operator="equal">
      <formula>"END"</formula>
    </cfRule>
  </conditionalFormatting>
  <conditionalFormatting sqref="E60:E66">
    <cfRule type="dataBar" priority="11">
      <dataBar>
        <cfvo type="min"/>
        <cfvo type="max"/>
        <color rgb="FF638EC6"/>
      </dataBar>
    </cfRule>
  </conditionalFormatting>
  <conditionalFormatting sqref="E75:E81">
    <cfRule type="dataBar" priority="3">
      <dataBar>
        <cfvo type="min"/>
        <cfvo type="max"/>
        <color rgb="FF638EC6"/>
      </dataBar>
    </cfRule>
  </conditionalFormatting>
  <conditionalFormatting sqref="F66">
    <cfRule type="dataBar" priority="10">
      <dataBar>
        <cfvo type="min"/>
        <cfvo type="max"/>
        <color rgb="FF638EC6"/>
      </dataBar>
    </cfRule>
  </conditionalFormatting>
  <conditionalFormatting sqref="Q14 Q16 Q18 Q20 Q22 Q24 Q26">
    <cfRule type="cellIs" dxfId="109" priority="1" operator="equal">
      <formula>"Pass"</formula>
    </cfRule>
    <cfRule type="cellIs" dxfId="108" priority="2" operator="equal">
      <formula>"Fail"</formula>
    </cfRule>
  </conditionalFormatting>
  <dataValidations disablePrompts="1" count="20">
    <dataValidation allowBlank="1" showInputMessage="1" showErrorMessage="1" prompt="Only change the Ticker name, the rest of the table will auto-update." sqref="C10" xr:uid="{00000000-0002-0000-0600-000000000000}"/>
    <dataValidation allowBlank="1" showInputMessage="1" showErrorMessage="1" prompt="Check &amp; change display units accordingly" sqref="N10:N11 E10:H10" xr:uid="{00000000-0002-0000-0600-000001000000}"/>
    <dataValidation allowBlank="1" showInputMessage="1" showErrorMessage="1" prompt="E - Effective tax rate (last FY)_x000a_S - Statutory income tax rate_x000a_" sqref="E7:F7" xr:uid="{00000000-0002-0000-0600-000004000000}"/>
    <dataValidation allowBlank="1" showInputMessage="1" showErrorMessage="1" prompt="m for month_x000a_w for week_x000a_d for day" sqref="E6:F6" xr:uid="{00000000-0002-0000-0600-000006000000}"/>
    <dataValidation allowBlank="1" showInputMessage="1" showErrorMessage="1" prompt="Time interval to compute beta. Use 5Y or 2Y" sqref="F5" xr:uid="{00000000-0002-0000-0600-000007000000}"/>
    <dataValidation allowBlank="1" showInputMessage="1" showErrorMessage="1" prompt="This is the tax rate applied to the beta computation._x000a_Switch between Effective and Statutory tax rate at Cell F5" sqref="L10:L11 I10 M11" xr:uid="{00000000-0002-0000-0600-000008000000}"/>
    <dataValidation type="list" allowBlank="1" showInputMessage="1" showErrorMessage="1" sqref="F7" xr:uid="{00000000-0002-0000-0600-000009000000}">
      <formula1>"S,E"</formula1>
    </dataValidation>
    <dataValidation allowBlank="1" showInputMessage="1" showErrorMessage="1" prompt="Just enter some estimated numbers first" sqref="E11" xr:uid="{00000000-0002-0000-0600-00000A000000}"/>
    <dataValidation allowBlank="1" showInputMessage="1" showErrorMessage="1" prompt="Check &amp; change accordingly" sqref="G11" xr:uid="{00000000-0002-0000-0600-00000B000000}"/>
    <dataValidation allowBlank="1" showInputMessage="1" showErrorMessage="1" prompt="Link to market approach" sqref="H11" xr:uid="{00000000-0002-0000-0600-00000C000000}"/>
    <dataValidation type="list" allowBlank="1" showInputMessage="1" showErrorMessage="1" prompt="Units to display_x000a_TLN - Trillions_x000a_BLN - Billions_x000a_MLN - Millions" sqref="C7" xr:uid="{00000000-0002-0000-0600-00000D000000}">
      <formula1>"mln,bln,tln"</formula1>
    </dataValidation>
    <dataValidation allowBlank="1" showErrorMessage="1" prompt="This is the tax rate applied to the beta computation._x000a_Switch between Effective and Statutory tax rate at Cell F5" sqref="I11:K11" xr:uid="{ABB61B22-6416-4CA7-8794-445AA33EA62B}"/>
    <dataValidation type="list" allowBlank="1" showInputMessage="1" showErrorMessage="1" sqref="B60:B66" xr:uid="{13A4849D-235D-4074-A64A-A76F59BF71A7}">
      <formula1>$U$58:$U$66</formula1>
    </dataValidation>
    <dataValidation type="list" allowBlank="1" showInputMessage="1" showErrorMessage="1" sqref="B57" xr:uid="{96B1E42F-6048-456E-8433-40E6B5E16E84}">
      <formula1>$V$58:$V$70</formula1>
    </dataValidation>
    <dataValidation type="list" allowBlank="1" showInputMessage="1" showErrorMessage="1" sqref="D57" xr:uid="{FE3F3361-656F-4467-BB52-1B20FF00EB46}">
      <formula1>$Y$58:$Y$60</formula1>
    </dataValidation>
    <dataValidation type="list" allowBlank="1" showInputMessage="1" showErrorMessage="1" sqref="A60:A66" xr:uid="{4EE083C5-95E6-4783-8950-D083F7D6DFF6}">
      <formula1>$AB$58:$AB$87</formula1>
    </dataValidation>
    <dataValidation allowBlank="1" showErrorMessage="1" prompt="m for month_x000a_w for week_x000a_d for day" sqref="G6" xr:uid="{1C9318C6-0BB9-4271-A8D4-023DAF09238A}"/>
    <dataValidation type="list" allowBlank="1" showInputMessage="1" showErrorMessage="1" prompt="m for month_x000a_w for week_x000a_d for day" sqref="F6" xr:uid="{991EC775-037C-4A2B-B68C-0EC28FF19166}">
      <formula1>"D,W,M"</formula1>
    </dataValidation>
    <dataValidation allowBlank="1" showErrorMessage="1" prompt="E - Effective tax rate (last FY)_x000a_S - Statutory income tax rate_x000a_" sqref="G7" xr:uid="{C499388C-019E-4E5B-B33A-8FD4D87F40A7}"/>
    <dataValidation type="list" allowBlank="1" showInputMessage="1" showErrorMessage="1" sqref="F4:H4" xr:uid="{62CFBD68-D740-4554-86FD-8BD3A8B6F71A}">
      <formula1>$T$1:$T$7</formula1>
    </dataValidation>
  </dataValidations>
  <pageMargins left="0.7" right="0.7" top="0.75" bottom="0.75" header="0.3" footer="0.3"/>
  <pageSetup paperSize="9" orientation="portrait" r:id="rId1"/>
  <drawing r:id="rId2"/>
  <legacyDrawing r:id="rId3"/>
  <tableParts count="1">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5" tint="0.59999389629810485"/>
  </sheetPr>
  <dimension ref="A1:P245"/>
  <sheetViews>
    <sheetView showGridLines="0" zoomScaleNormal="100" workbookViewId="0">
      <selection activeCell="O116" sqref="O116"/>
    </sheetView>
  </sheetViews>
  <sheetFormatPr defaultColWidth="0" defaultRowHeight="10" outlineLevelRow="1"/>
  <cols>
    <col min="1" max="1" width="9.109375" customWidth="1"/>
    <col min="2" max="14" width="12.6640625" customWidth="1"/>
    <col min="15" max="15" width="18.33203125" customWidth="1"/>
    <col min="16" max="16" width="9.109375" customWidth="1"/>
    <col min="17" max="16384" width="9.109375" hidden="1"/>
  </cols>
  <sheetData>
    <row r="1" spans="1:15" ht="27.5">
      <c r="B1" s="18" t="s">
        <v>149</v>
      </c>
    </row>
    <row r="2" spans="1:15">
      <c r="K2" s="45" t="s">
        <v>110</v>
      </c>
      <c r="L2" s="15" t="s">
        <v>111</v>
      </c>
    </row>
    <row r="3" spans="1:15">
      <c r="L3" s="562">
        <f>IF($L$2="mln",1,IF($L$2="bln",0.001,0.000001))</f>
        <v>1</v>
      </c>
    </row>
    <row r="6" spans="1:15">
      <c r="D6" s="30"/>
      <c r="E6" s="30"/>
      <c r="F6" s="30"/>
      <c r="G6" s="30"/>
      <c r="H6" s="30"/>
      <c r="I6" s="30"/>
      <c r="J6" s="30"/>
      <c r="K6" s="30"/>
      <c r="L6" s="30"/>
      <c r="M6" s="30"/>
      <c r="N6" s="30"/>
    </row>
    <row r="7" spans="1:15" ht="10.5">
      <c r="B7" s="666" t="s">
        <v>150</v>
      </c>
      <c r="C7" s="666"/>
      <c r="D7" s="666"/>
      <c r="E7" s="666"/>
      <c r="F7" s="666"/>
      <c r="G7" s="666"/>
      <c r="H7" s="666"/>
      <c r="I7" s="666"/>
      <c r="J7" s="666"/>
      <c r="K7" s="666"/>
      <c r="L7" s="666"/>
      <c r="M7" s="666"/>
      <c r="N7" s="666"/>
      <c r="O7" s="666"/>
    </row>
    <row r="8" spans="1:15" ht="10.5">
      <c r="B8" s="418" t="str">
        <f>"("&amp;curr&amp;" "&amp;LEFT($L$2,1)&amp;")"</f>
        <v>(USD m)</v>
      </c>
      <c r="C8" s="419" t="s">
        <v>123</v>
      </c>
      <c r="D8" s="760" t="str">
        <f>"FY"&amp;YEAR(C0!D16)</f>
        <v>FY2015</v>
      </c>
      <c r="E8" s="760" t="str">
        <f>"FY"&amp;YEAR(C0!E16)</f>
        <v>FY2016</v>
      </c>
      <c r="F8" s="760" t="str">
        <f>"FY"&amp;YEAR(C0!F16)</f>
        <v>FY2017</v>
      </c>
      <c r="G8" s="760" t="str">
        <f>"FY"&amp;YEAR(C0!G16)</f>
        <v>FY2018</v>
      </c>
      <c r="H8" s="760" t="str">
        <f>"FY"&amp;YEAR(C0!H16)</f>
        <v>FY2019</v>
      </c>
      <c r="I8" s="760" t="str">
        <f>"FY"&amp;YEAR(C0!I16)</f>
        <v>FY2020</v>
      </c>
      <c r="J8" s="760" t="str">
        <f>"FY"&amp;YEAR(C0!J16)</f>
        <v>FY2021</v>
      </c>
      <c r="K8" s="760" t="str">
        <f>"FY"&amp;YEAR(C0!K16)</f>
        <v>FY2022</v>
      </c>
      <c r="L8" s="760" t="str">
        <f>"FY"&amp;YEAR(C0!L16)</f>
        <v>FY2023</v>
      </c>
      <c r="M8" s="760" t="str">
        <f>"FY"&amp;YEAR(C0!M16)</f>
        <v>FY2024</v>
      </c>
      <c r="N8" s="760" t="str">
        <f>"FY"&amp;YEAR(C0!N16)</f>
        <v>FY2025</v>
      </c>
      <c r="O8" s="483" t="s">
        <v>537</v>
      </c>
    </row>
    <row r="9" spans="1:15">
      <c r="A9" s="116"/>
      <c r="B9" s="432" t="str">
        <f>IF($C9="","",IFERROR('Comps'!B13,"DELETE"))</f>
        <v>Netflix, Inc.</v>
      </c>
      <c r="C9" s="13" t="str">
        <f>IF('Comps'!C13="","",'Comps'!C13)</f>
        <v>NasdaqGS:NFLX</v>
      </c>
      <c r="D9" s="576">
        <v>6779.5110000000004</v>
      </c>
      <c r="E9" s="576">
        <v>8830.6689999999999</v>
      </c>
      <c r="F9" s="576">
        <v>11692.713</v>
      </c>
      <c r="G9" s="576">
        <v>15794.341</v>
      </c>
      <c r="H9" s="576">
        <v>20156.447</v>
      </c>
      <c r="I9" s="576">
        <v>24996.056</v>
      </c>
      <c r="J9" s="576">
        <v>29697.844000000001</v>
      </c>
      <c r="K9" s="576">
        <v>31615.55</v>
      </c>
      <c r="L9" s="576">
        <v>33723.296999999999</v>
      </c>
      <c r="M9" s="576">
        <v>39000.966</v>
      </c>
      <c r="N9" s="576">
        <v>0</v>
      </c>
      <c r="O9" s="575">
        <f>IF($C9="","",IFERROR((M9/J9)^(1/COUNT(K9:M9))-1,"NA"))</f>
        <v>9.5090843021556015E-2</v>
      </c>
    </row>
    <row r="10" spans="1:15">
      <c r="A10" s="116"/>
      <c r="B10" s="432" t="str">
        <f>IF($C10="","",IFERROR('Comps'!B14,"DELETE"))</f>
        <v>Spotify Technology S.A.</v>
      </c>
      <c r="C10" s="13" t="str">
        <f>IF('Comps'!C14="","",'Comps'!C14)</f>
        <v>NYSE:SPOT</v>
      </c>
      <c r="D10" s="576">
        <v>2107.43577</v>
      </c>
      <c r="E10" s="576">
        <v>3116.2250600000002</v>
      </c>
      <c r="F10" s="576">
        <v>4911.1431300000004</v>
      </c>
      <c r="G10" s="576">
        <v>6021.2960800000001</v>
      </c>
      <c r="H10" s="576">
        <v>7590.61834</v>
      </c>
      <c r="I10" s="576">
        <v>9639.1437299999998</v>
      </c>
      <c r="J10" s="576">
        <v>10995.10975</v>
      </c>
      <c r="K10" s="576">
        <v>12532.863090000001</v>
      </c>
      <c r="L10" s="576">
        <v>14642.4229</v>
      </c>
      <c r="M10" s="576">
        <v>16226.317429999999</v>
      </c>
      <c r="N10" s="576">
        <v>0</v>
      </c>
      <c r="O10" s="575">
        <f t="shared" ref="O10:O22" si="0">IF($C10="","",IFERROR((M10/J10)^(1/COUNT(K10:M10))-1,"NA"))</f>
        <v>0.13851860760505286</v>
      </c>
    </row>
    <row r="11" spans="1:15">
      <c r="A11" s="116"/>
      <c r="B11" s="432" t="str">
        <f>IF($C11="","",IFERROR('Comps'!B15,"DELETE"))</f>
        <v>Roku, Inc.</v>
      </c>
      <c r="C11" s="13" t="str">
        <f>IF('Comps'!C15="","",'Comps'!C15)</f>
        <v>NasdaqGS:ROKU</v>
      </c>
      <c r="D11" s="576">
        <v>319.85700000000003</v>
      </c>
      <c r="E11" s="576">
        <v>398.649</v>
      </c>
      <c r="F11" s="576">
        <v>512.76300000000003</v>
      </c>
      <c r="G11" s="576">
        <v>742.50599999999997</v>
      </c>
      <c r="H11" s="576">
        <v>1128.921</v>
      </c>
      <c r="I11" s="576">
        <v>1778.3879999999999</v>
      </c>
      <c r="J11" s="576">
        <v>2764.5839999999998</v>
      </c>
      <c r="K11" s="576">
        <v>3126.5340000000001</v>
      </c>
      <c r="L11" s="576">
        <v>3484.6190000000001</v>
      </c>
      <c r="M11" s="576">
        <v>4112.8980000000001</v>
      </c>
      <c r="N11" s="576">
        <v>0</v>
      </c>
      <c r="O11" s="575">
        <f t="shared" si="0"/>
        <v>0.14157920648083655</v>
      </c>
    </row>
    <row r="12" spans="1:15">
      <c r="A12" s="116"/>
      <c r="B12" s="432" t="str">
        <f>IF($C12="","",IFERROR('Comps'!B16,"DELETE"))</f>
        <v>Iqiyi, Inc.</v>
      </c>
      <c r="C12" s="13" t="str">
        <f>IF('Comps'!C16="","",'Comps'!C16)</f>
        <v>NasdaqGS:IQ</v>
      </c>
      <c r="D12" s="576">
        <v>819.18890999999996</v>
      </c>
      <c r="E12" s="576">
        <v>1618.43002</v>
      </c>
      <c r="F12" s="576">
        <v>2670.8392800000001</v>
      </c>
      <c r="G12" s="576">
        <v>3633.3535900000002</v>
      </c>
      <c r="H12" s="576">
        <v>4164.02045</v>
      </c>
      <c r="I12" s="576">
        <v>4550.3193600000004</v>
      </c>
      <c r="J12" s="576">
        <v>4809.7407300000004</v>
      </c>
      <c r="K12" s="576">
        <v>4204.2492499999998</v>
      </c>
      <c r="L12" s="576">
        <v>4494.8668100000004</v>
      </c>
      <c r="M12" s="576">
        <v>4003.9508900000001</v>
      </c>
      <c r="N12" s="576">
        <v>0</v>
      </c>
      <c r="O12" s="575">
        <f t="shared" si="0"/>
        <v>-5.9290149007727444E-2</v>
      </c>
    </row>
    <row r="13" spans="1:15">
      <c r="A13" s="116"/>
      <c r="B13" s="432" t="str">
        <f>IF($C13="","",IFERROR('Comps'!B17,"DELETE"))</f>
        <v>Bilibili Inc.</v>
      </c>
      <c r="C13" s="13" t="str">
        <f>IF('Comps'!C17="","",'Comps'!C17)</f>
        <v>NasdaqGS:BILI</v>
      </c>
      <c r="D13" s="576">
        <v>20.17651</v>
      </c>
      <c r="E13" s="576">
        <v>75.367980000000003</v>
      </c>
      <c r="F13" s="576">
        <v>379.37034</v>
      </c>
      <c r="G13" s="576">
        <v>600.33600999999999</v>
      </c>
      <c r="H13" s="576">
        <v>973.43376999999998</v>
      </c>
      <c r="I13" s="576">
        <v>1837.9095</v>
      </c>
      <c r="J13" s="576">
        <v>3051.2993099999999</v>
      </c>
      <c r="K13" s="576">
        <v>3175.0807500000001</v>
      </c>
      <c r="L13" s="576">
        <v>3177.0278899999998</v>
      </c>
      <c r="M13" s="576">
        <v>3676.0045700000001</v>
      </c>
      <c r="N13" s="576">
        <v>0</v>
      </c>
      <c r="O13" s="575">
        <f t="shared" si="0"/>
        <v>6.4054184426631799E-2</v>
      </c>
    </row>
    <row r="14" spans="1:15">
      <c r="A14" s="116"/>
      <c r="B14" s="432" t="str">
        <f>IF($C14="","",IFERROR('Comps'!B18,"DELETE"))</f>
        <v>The Walt Disney Company</v>
      </c>
      <c r="C14" s="13" t="str">
        <f>IF('Comps'!C18="","",'Comps'!C18)</f>
        <v>NYSE:DIS</v>
      </c>
      <c r="D14" s="576">
        <v>52465</v>
      </c>
      <c r="E14" s="576">
        <v>55632</v>
      </c>
      <c r="F14" s="576">
        <v>55137</v>
      </c>
      <c r="G14" s="576">
        <v>59434</v>
      </c>
      <c r="H14" s="576">
        <v>69607</v>
      </c>
      <c r="I14" s="576">
        <v>65388</v>
      </c>
      <c r="J14" s="576">
        <v>67418</v>
      </c>
      <c r="K14" s="576">
        <v>82722</v>
      </c>
      <c r="L14" s="576">
        <v>88898</v>
      </c>
      <c r="M14" s="576">
        <v>91361</v>
      </c>
      <c r="N14" s="576">
        <v>94425</v>
      </c>
      <c r="O14" s="575">
        <f t="shared" si="0"/>
        <v>0.10661102641410714</v>
      </c>
    </row>
    <row r="15" spans="1:15">
      <c r="A15" s="116"/>
      <c r="B15" s="432" t="str">
        <f>IF($C15="","",IFERROR('Comps'!B19,"DELETE"))</f>
        <v>Warner Bros. Discovery, Inc.</v>
      </c>
      <c r="C15" s="13" t="str">
        <f>IF('Comps'!C19="","",'Comps'!C19)</f>
        <v>NasdaqGS:WBD</v>
      </c>
      <c r="D15" s="576">
        <v>6394</v>
      </c>
      <c r="E15" s="576">
        <v>6497</v>
      </c>
      <c r="F15" s="576">
        <v>6873</v>
      </c>
      <c r="G15" s="576">
        <v>10553</v>
      </c>
      <c r="H15" s="576">
        <v>11144</v>
      </c>
      <c r="I15" s="576">
        <v>10671</v>
      </c>
      <c r="J15" s="576">
        <v>12191</v>
      </c>
      <c r="K15" s="576">
        <v>33817</v>
      </c>
      <c r="L15" s="576">
        <v>41321</v>
      </c>
      <c r="M15" s="576">
        <v>39321</v>
      </c>
      <c r="N15" s="576">
        <v>0</v>
      </c>
      <c r="O15" s="575">
        <f t="shared" si="0"/>
        <v>0.47750312335367018</v>
      </c>
    </row>
    <row r="16" spans="1:15">
      <c r="A16" s="116"/>
      <c r="B16" s="432" t="str">
        <f>IF($C16="","",IFERROR('Comps'!B20,"DELETE"))</f>
        <v>Paramount Skydance Corporation</v>
      </c>
      <c r="C16" s="13" t="str">
        <f>IF('Comps'!C20="","",'Comps'!C20)</f>
        <v>NasdaqGS:PSKY</v>
      </c>
      <c r="D16" s="576">
        <v>12671</v>
      </c>
      <c r="E16" s="576">
        <v>13166</v>
      </c>
      <c r="F16" s="576">
        <v>26535</v>
      </c>
      <c r="G16" s="576">
        <v>26425</v>
      </c>
      <c r="H16" s="576">
        <v>26998</v>
      </c>
      <c r="I16" s="576">
        <v>25285</v>
      </c>
      <c r="J16" s="576">
        <v>28586</v>
      </c>
      <c r="K16" s="576">
        <v>30154</v>
      </c>
      <c r="L16" s="576">
        <v>29652</v>
      </c>
      <c r="M16" s="576">
        <v>29213</v>
      </c>
      <c r="N16" s="576">
        <v>0</v>
      </c>
      <c r="O16" s="575">
        <f t="shared" si="0"/>
        <v>7.258458559833203E-3</v>
      </c>
    </row>
    <row r="17" spans="1:15">
      <c r="A17" s="116"/>
      <c r="B17" s="432" t="str">
        <f>IF($C17="","",IFERROR('Comps'!B21,"DELETE"))</f>
        <v>Comcast Corporation</v>
      </c>
      <c r="C17" s="13" t="str">
        <f>IF('Comps'!C21="","",'Comps'!C21)</f>
        <v>NasdaqGS:CMCSA</v>
      </c>
      <c r="D17" s="576">
        <v>74510</v>
      </c>
      <c r="E17" s="576">
        <v>80736</v>
      </c>
      <c r="F17" s="576">
        <v>85029</v>
      </c>
      <c r="G17" s="576">
        <v>94507</v>
      </c>
      <c r="H17" s="576">
        <v>108942</v>
      </c>
      <c r="I17" s="576">
        <v>103564</v>
      </c>
      <c r="J17" s="576">
        <v>116385</v>
      </c>
      <c r="K17" s="576">
        <v>121427</v>
      </c>
      <c r="L17" s="576">
        <v>121572</v>
      </c>
      <c r="M17" s="576">
        <v>123731</v>
      </c>
      <c r="N17" s="576">
        <v>0</v>
      </c>
      <c r="O17" s="575">
        <f t="shared" si="0"/>
        <v>2.0611609169991274E-2</v>
      </c>
    </row>
    <row r="18" spans="1:15">
      <c r="A18" s="116"/>
      <c r="B18" s="432" t="str">
        <f>IF($C18="","",IFERROR('Comps'!B22,"DELETE"))</f>
        <v/>
      </c>
      <c r="C18" s="13" t="str">
        <f>IF('Comps'!C22="","",'Comps'!C22)</f>
        <v/>
      </c>
      <c r="D18" s="576"/>
      <c r="E18" s="576"/>
      <c r="F18" s="576"/>
      <c r="G18" s="576"/>
      <c r="H18" s="576"/>
      <c r="I18" s="576"/>
      <c r="J18" s="576"/>
      <c r="K18" s="576"/>
      <c r="L18" s="576"/>
      <c r="M18" s="576"/>
      <c r="N18" s="576"/>
      <c r="O18" s="575" t="str">
        <f t="shared" si="0"/>
        <v/>
      </c>
    </row>
    <row r="19" spans="1:15">
      <c r="A19" s="116"/>
      <c r="B19" s="432" t="str">
        <f>IF($C19="","",IFERROR('Comps'!B23,"DELETE"))</f>
        <v/>
      </c>
      <c r="C19" s="13" t="str">
        <f>IF('Comps'!C23="","",'Comps'!C23)</f>
        <v/>
      </c>
      <c r="D19" s="576"/>
      <c r="E19" s="576"/>
      <c r="F19" s="576"/>
      <c r="G19" s="576"/>
      <c r="H19" s="576"/>
      <c r="I19" s="576"/>
      <c r="J19" s="576"/>
      <c r="K19" s="576"/>
      <c r="L19" s="576"/>
      <c r="M19" s="576"/>
      <c r="N19" s="576"/>
      <c r="O19" s="575" t="str">
        <f t="shared" si="0"/>
        <v/>
      </c>
    </row>
    <row r="20" spans="1:15">
      <c r="A20" s="116"/>
      <c r="B20" s="432" t="str">
        <f>IF($C20="","",IFERROR('Comps'!B24,"DELETE"))</f>
        <v/>
      </c>
      <c r="C20" s="13" t="str">
        <f>IF('Comps'!C24="","",'Comps'!C24)</f>
        <v/>
      </c>
      <c r="D20" s="576"/>
      <c r="E20" s="576"/>
      <c r="F20" s="576"/>
      <c r="G20" s="576"/>
      <c r="H20" s="576"/>
      <c r="I20" s="576"/>
      <c r="J20" s="576"/>
      <c r="K20" s="576"/>
      <c r="L20" s="576"/>
      <c r="M20" s="576"/>
      <c r="N20" s="576"/>
      <c r="O20" s="575" t="str">
        <f t="shared" si="0"/>
        <v/>
      </c>
    </row>
    <row r="21" spans="1:15">
      <c r="A21" s="116"/>
      <c r="B21" s="432" t="str">
        <f>IF($C21="","",IFERROR('Comps'!B25,"DELETE"))</f>
        <v/>
      </c>
      <c r="C21" s="13" t="str">
        <f>IF('Comps'!C25="","",'Comps'!C25)</f>
        <v/>
      </c>
      <c r="D21" s="576"/>
      <c r="E21" s="576"/>
      <c r="F21" s="576"/>
      <c r="G21" s="576"/>
      <c r="H21" s="576"/>
      <c r="I21" s="576"/>
      <c r="J21" s="576"/>
      <c r="K21" s="576"/>
      <c r="L21" s="576"/>
      <c r="M21" s="576"/>
      <c r="N21" s="576"/>
      <c r="O21" s="575" t="str">
        <f t="shared" si="0"/>
        <v/>
      </c>
    </row>
    <row r="22" spans="1:15">
      <c r="A22" s="116"/>
      <c r="B22" s="432" t="str">
        <f>IF($C22="","",IFERROR('Comps'!B26,"DELETE"))</f>
        <v/>
      </c>
      <c r="C22" s="13" t="str">
        <f>IF('Comps'!C26="","",'Comps'!C26)</f>
        <v/>
      </c>
      <c r="D22" s="576"/>
      <c r="E22" s="576"/>
      <c r="F22" s="576"/>
      <c r="G22" s="576"/>
      <c r="H22" s="576"/>
      <c r="I22" s="576"/>
      <c r="J22" s="576"/>
      <c r="K22" s="576"/>
      <c r="L22" s="576"/>
      <c r="M22" s="576"/>
      <c r="N22" s="576"/>
      <c r="O22" s="575" t="str">
        <f t="shared" si="0"/>
        <v/>
      </c>
    </row>
    <row r="23" spans="1:15">
      <c r="A23" s="116"/>
      <c r="B23" s="432" t="str">
        <f>IF($C23="","",IFERROR('Comps'!B27,"DELETE"))</f>
        <v/>
      </c>
      <c r="C23" s="13" t="str">
        <f>IF('Comps'!C27="","",'Comps'!C27)</f>
        <v/>
      </c>
      <c r="D23" s="576"/>
      <c r="E23" s="576"/>
      <c r="F23" s="576"/>
      <c r="G23" s="576"/>
      <c r="H23" s="576"/>
      <c r="I23" s="576"/>
      <c r="J23" s="576"/>
      <c r="K23" s="576"/>
      <c r="L23" s="576"/>
      <c r="M23" s="576"/>
      <c r="N23" s="576"/>
      <c r="O23" s="575" t="str">
        <f>IF($C23="","",IFERROR((M23/J23)^(1/COUNT(K23:M23))-1,"NA"))</f>
        <v/>
      </c>
    </row>
    <row r="24" spans="1:15" ht="4.4000000000000004" customHeight="1" thickBot="1">
      <c r="A24" s="116"/>
      <c r="B24" s="352"/>
      <c r="C24" s="353"/>
      <c r="D24" s="355"/>
      <c r="E24" s="355"/>
      <c r="F24" s="355"/>
      <c r="G24" s="355"/>
      <c r="H24" s="355"/>
      <c r="I24" s="355"/>
      <c r="J24" s="355"/>
      <c r="K24" s="355"/>
      <c r="L24" s="355"/>
      <c r="M24" s="355"/>
      <c r="N24" s="355"/>
      <c r="O24" s="356"/>
    </row>
    <row r="25" spans="1:15">
      <c r="B25" s="665" t="s">
        <v>324</v>
      </c>
      <c r="D25" s="105"/>
      <c r="E25" s="105"/>
      <c r="F25" s="105"/>
      <c r="G25" s="105"/>
      <c r="H25" s="105"/>
      <c r="I25" s="105"/>
      <c r="J25" s="105"/>
      <c r="K25" s="105"/>
      <c r="L25" s="105"/>
      <c r="M25" s="105"/>
      <c r="N25" s="105"/>
      <c r="O25" s="104"/>
    </row>
    <row r="26" spans="1:15">
      <c r="D26" s="105"/>
      <c r="E26" s="105"/>
      <c r="F26" s="105"/>
      <c r="G26" s="105"/>
      <c r="H26" s="105"/>
      <c r="I26" s="105"/>
      <c r="J26" s="105"/>
      <c r="K26" s="105"/>
      <c r="L26" s="105"/>
      <c r="M26" s="105"/>
      <c r="N26" s="105"/>
    </row>
    <row r="27" spans="1:15" ht="10.5" hidden="1" outlineLevel="1">
      <c r="B27" s="666" t="s">
        <v>57</v>
      </c>
      <c r="C27" s="666"/>
      <c r="D27" s="667"/>
      <c r="E27" s="667"/>
      <c r="F27" s="667"/>
      <c r="G27" s="667"/>
      <c r="H27" s="667"/>
      <c r="I27" s="667"/>
      <c r="J27" s="667"/>
      <c r="K27" s="667"/>
      <c r="L27" s="667"/>
      <c r="M27" s="667"/>
      <c r="N27" s="667"/>
    </row>
    <row r="28" spans="1:15" ht="10.5" hidden="1" outlineLevel="1">
      <c r="B28" s="418" t="str">
        <f>"("&amp;curr&amp;" "&amp;LEFT($L$2,1)&amp;")"</f>
        <v>(USD m)</v>
      </c>
      <c r="C28" s="419" t="s">
        <v>123</v>
      </c>
      <c r="D28" s="760" t="str">
        <f>D$8</f>
        <v>FY2015</v>
      </c>
      <c r="E28" s="760" t="str">
        <f t="shared" ref="E28:N28" si="1">E$8</f>
        <v>FY2016</v>
      </c>
      <c r="F28" s="760" t="str">
        <f t="shared" si="1"/>
        <v>FY2017</v>
      </c>
      <c r="G28" s="760" t="str">
        <f t="shared" si="1"/>
        <v>FY2018</v>
      </c>
      <c r="H28" s="760" t="str">
        <f t="shared" si="1"/>
        <v>FY2019</v>
      </c>
      <c r="I28" s="760" t="str">
        <f t="shared" si="1"/>
        <v>FY2020</v>
      </c>
      <c r="J28" s="760" t="str">
        <f t="shared" si="1"/>
        <v>FY2021</v>
      </c>
      <c r="K28" s="760" t="str">
        <f t="shared" si="1"/>
        <v>FY2022</v>
      </c>
      <c r="L28" s="760" t="str">
        <f t="shared" si="1"/>
        <v>FY2023</v>
      </c>
      <c r="M28" s="760" t="str">
        <f t="shared" si="1"/>
        <v>FY2024</v>
      </c>
      <c r="N28" s="760" t="str">
        <f t="shared" si="1"/>
        <v>FY2025</v>
      </c>
      <c r="O28" s="13"/>
    </row>
    <row r="29" spans="1:15" hidden="1" outlineLevel="1">
      <c r="A29" s="116"/>
      <c r="B29" s="432" t="str">
        <f>IF($C29="","",IFERROR('Comps'!B13,"DELETE"))</f>
        <v>Netflix, Inc.</v>
      </c>
      <c r="C29" s="13" t="str">
        <f>IF('Comps'!C13="","",'Comps'!C13)</f>
        <v>NasdaqGS:NFLX</v>
      </c>
      <c r="D29" s="576">
        <v>2188.0349999999999</v>
      </c>
      <c r="E29" s="576">
        <v>2573.2069999999999</v>
      </c>
      <c r="F29" s="576">
        <v>3659.7130000000002</v>
      </c>
      <c r="G29" s="576">
        <v>5826.8029999999999</v>
      </c>
      <c r="H29" s="576">
        <v>7716.2340000000004</v>
      </c>
      <c r="I29" s="576">
        <v>9719.7369999999992</v>
      </c>
      <c r="J29" s="576">
        <v>12365.161</v>
      </c>
      <c r="K29" s="576">
        <v>12447.264999999999</v>
      </c>
      <c r="L29" s="576">
        <v>14007.929</v>
      </c>
      <c r="M29" s="576">
        <v>17962.502</v>
      </c>
      <c r="N29" s="576">
        <v>0</v>
      </c>
      <c r="O29" s="484"/>
    </row>
    <row r="30" spans="1:15" hidden="1" outlineLevel="1">
      <c r="A30" s="116"/>
      <c r="B30" s="432" t="str">
        <f>IF($C30="","",IFERROR('Comps'!B14,"DELETE"))</f>
        <v>Spotify Technology S.A.</v>
      </c>
      <c r="C30" s="13" t="str">
        <f>IF('Comps'!C14="","",'Comps'!C14)</f>
        <v>NYSE:SPOT</v>
      </c>
      <c r="D30" s="576">
        <v>245.50540000000001</v>
      </c>
      <c r="E30" s="576">
        <v>423.30835000000002</v>
      </c>
      <c r="F30" s="576">
        <v>1019.45245</v>
      </c>
      <c r="G30" s="576">
        <v>1549.1183900000001</v>
      </c>
      <c r="H30" s="576">
        <v>1932.4430500000001</v>
      </c>
      <c r="I30" s="576">
        <v>2464.8317999999999</v>
      </c>
      <c r="J30" s="576">
        <v>2946.66212</v>
      </c>
      <c r="K30" s="576">
        <v>3127.0706399999999</v>
      </c>
      <c r="L30" s="576">
        <v>3811.20813</v>
      </c>
      <c r="M30" s="576">
        <v>4908.3756100000001</v>
      </c>
      <c r="N30" s="576">
        <v>0</v>
      </c>
      <c r="O30" s="484"/>
    </row>
    <row r="31" spans="1:15" hidden="1" outlineLevel="1">
      <c r="A31" s="116"/>
      <c r="B31" s="432" t="str">
        <f>IF($C31="","",IFERROR('Comps'!B15,"DELETE"))</f>
        <v>Roku, Inc.</v>
      </c>
      <c r="C31" s="13" t="str">
        <f>IF('Comps'!C15="","",'Comps'!C15)</f>
        <v>NasdaqGS:ROKU</v>
      </c>
      <c r="D31" s="576">
        <v>89.778000000000006</v>
      </c>
      <c r="E31" s="576">
        <v>121.045</v>
      </c>
      <c r="F31" s="576">
        <v>199.833</v>
      </c>
      <c r="G31" s="576">
        <v>332.14800000000002</v>
      </c>
      <c r="H31" s="576">
        <v>495.22399999999999</v>
      </c>
      <c r="I31" s="576">
        <v>808.21900000000005</v>
      </c>
      <c r="J31" s="576">
        <v>1408.6</v>
      </c>
      <c r="K31" s="576">
        <v>1441.1220000000001</v>
      </c>
      <c r="L31" s="576">
        <v>1592.97</v>
      </c>
      <c r="M31" s="576">
        <v>1805.6479999999999</v>
      </c>
      <c r="N31" s="576">
        <v>0</v>
      </c>
      <c r="O31" s="484"/>
    </row>
    <row r="32" spans="1:15" hidden="1" outlineLevel="1">
      <c r="A32" s="116"/>
      <c r="B32" s="432" t="str">
        <f>IF($C32="","",IFERROR('Comps'!B16,"DELETE"))</f>
        <v>Iqiyi, Inc.</v>
      </c>
      <c r="C32" s="13" t="str">
        <f>IF('Comps'!C16="","",'Comps'!C16)</f>
        <v>NasdaqGS:IQ</v>
      </c>
      <c r="D32" s="576">
        <v>-111.38699</v>
      </c>
      <c r="E32" s="576">
        <v>1.8767499999999999</v>
      </c>
      <c r="F32" s="576">
        <v>58.7121</v>
      </c>
      <c r="G32" s="576">
        <v>-311.68777</v>
      </c>
      <c r="H32" s="576">
        <v>-180.32543999999999</v>
      </c>
      <c r="I32" s="576">
        <v>404.93720000000002</v>
      </c>
      <c r="J32" s="576">
        <v>508.06914</v>
      </c>
      <c r="K32" s="576">
        <v>978.0421</v>
      </c>
      <c r="L32" s="576">
        <v>1272.51604</v>
      </c>
      <c r="M32" s="576">
        <v>1009.2933399999999</v>
      </c>
      <c r="N32" s="576">
        <v>0</v>
      </c>
      <c r="O32" s="484"/>
    </row>
    <row r="33" spans="1:15" hidden="1" outlineLevel="1">
      <c r="A33" s="116"/>
      <c r="B33" s="432" t="str">
        <f>IF($C33="","",IFERROR('Comps'!B17,"DELETE"))</f>
        <v>Bilibili Inc.</v>
      </c>
      <c r="C33" s="13" t="str">
        <f>IF('Comps'!C17="","",'Comps'!C17)</f>
        <v>NasdaqGS:BILI</v>
      </c>
      <c r="D33" s="576">
        <v>-26.580210000000001</v>
      </c>
      <c r="E33" s="576">
        <v>-35.933689999999999</v>
      </c>
      <c r="F33" s="576">
        <v>84.406540000000007</v>
      </c>
      <c r="G33" s="576">
        <v>124.3785</v>
      </c>
      <c r="H33" s="576">
        <v>170.94156000000001</v>
      </c>
      <c r="I33" s="576">
        <v>435.036</v>
      </c>
      <c r="J33" s="576">
        <v>636.45546999999999</v>
      </c>
      <c r="K33" s="576">
        <v>558.09531000000004</v>
      </c>
      <c r="L33" s="576">
        <v>767.44349</v>
      </c>
      <c r="M33" s="576">
        <v>1202.0609400000001</v>
      </c>
      <c r="N33" s="576">
        <v>0</v>
      </c>
      <c r="O33" s="484"/>
    </row>
    <row r="34" spans="1:15" hidden="1" outlineLevel="1">
      <c r="A34" s="116"/>
      <c r="B34" s="432" t="str">
        <f>IF($C34="","",IFERROR('Comps'!B18,"DELETE"))</f>
        <v>The Walt Disney Company</v>
      </c>
      <c r="C34" s="13" t="str">
        <f>IF('Comps'!C18="","",'Comps'!C18)</f>
        <v>NYSE:DIS</v>
      </c>
      <c r="D34" s="576">
        <v>24101</v>
      </c>
      <c r="E34" s="576">
        <v>25768</v>
      </c>
      <c r="F34" s="576">
        <v>24831</v>
      </c>
      <c r="G34" s="576">
        <v>26708</v>
      </c>
      <c r="H34" s="576">
        <v>27546</v>
      </c>
      <c r="I34" s="576">
        <v>21508</v>
      </c>
      <c r="J34" s="576">
        <v>22287</v>
      </c>
      <c r="K34" s="576">
        <v>28321</v>
      </c>
      <c r="L34" s="576">
        <v>29697</v>
      </c>
      <c r="M34" s="576">
        <v>32663</v>
      </c>
      <c r="N34" s="576">
        <v>35659</v>
      </c>
      <c r="O34" s="484"/>
    </row>
    <row r="35" spans="1:15" hidden="1" outlineLevel="1">
      <c r="A35" s="116"/>
      <c r="B35" s="432" t="str">
        <f>IF($C35="","",IFERROR('Comps'!B19,"DELETE"))</f>
        <v>Warner Bros. Discovery, Inc.</v>
      </c>
      <c r="C35" s="13" t="str">
        <f>IF('Comps'!C19="","",'Comps'!C19)</f>
        <v>NasdaqGS:WBD</v>
      </c>
      <c r="D35" s="576">
        <v>4111</v>
      </c>
      <c r="E35" s="576">
        <v>4130</v>
      </c>
      <c r="F35" s="576">
        <v>4249</v>
      </c>
      <c r="G35" s="576">
        <v>6643</v>
      </c>
      <c r="H35" s="576">
        <v>7392</v>
      </c>
      <c r="I35" s="576">
        <v>6859</v>
      </c>
      <c r="J35" s="576">
        <v>7576</v>
      </c>
      <c r="K35" s="576">
        <v>13426</v>
      </c>
      <c r="L35" s="576">
        <v>17006</v>
      </c>
      <c r="M35" s="576">
        <v>16744</v>
      </c>
      <c r="N35" s="576">
        <v>0</v>
      </c>
      <c r="O35" s="484"/>
    </row>
    <row r="36" spans="1:15" hidden="1" outlineLevel="1">
      <c r="A36" s="116"/>
      <c r="B36" s="432" t="str">
        <f>IF($C36="","",IFERROR('Comps'!B20,"DELETE"))</f>
        <v>Paramount Skydance Corporation</v>
      </c>
      <c r="C36" s="13" t="str">
        <f>IF('Comps'!C20="","",'Comps'!C20)</f>
        <v>NasdaqGS:PSKY</v>
      </c>
      <c r="D36" s="576">
        <v>4760</v>
      </c>
      <c r="E36" s="576">
        <v>5210</v>
      </c>
      <c r="F36" s="576">
        <v>11052</v>
      </c>
      <c r="G36" s="576">
        <v>11026</v>
      </c>
      <c r="H36" s="576">
        <v>10874</v>
      </c>
      <c r="I36" s="576">
        <v>10452</v>
      </c>
      <c r="J36" s="576">
        <v>10842</v>
      </c>
      <c r="K36" s="576">
        <v>10309</v>
      </c>
      <c r="L36" s="576">
        <v>9635</v>
      </c>
      <c r="M36" s="576">
        <v>9776</v>
      </c>
      <c r="N36" s="576">
        <v>0</v>
      </c>
      <c r="O36" s="484"/>
    </row>
    <row r="37" spans="1:15" hidden="1" outlineLevel="1">
      <c r="A37" s="116"/>
      <c r="B37" s="432" t="str">
        <f>IF($C37="","",IFERROR('Comps'!B21,"DELETE"))</f>
        <v>Comcast Corporation</v>
      </c>
      <c r="C37" s="13" t="str">
        <f>IF('Comps'!C21="","",'Comps'!C21)</f>
        <v>NasdaqGS:CMCSA</v>
      </c>
      <c r="D37" s="576">
        <v>51960</v>
      </c>
      <c r="E37" s="576">
        <v>56388</v>
      </c>
      <c r="F37" s="576">
        <v>59674</v>
      </c>
      <c r="G37" s="576">
        <v>64815</v>
      </c>
      <c r="H37" s="576">
        <v>74502</v>
      </c>
      <c r="I37" s="576">
        <v>70443</v>
      </c>
      <c r="J37" s="576">
        <v>77935</v>
      </c>
      <c r="K37" s="576">
        <v>83214</v>
      </c>
      <c r="L37" s="576">
        <v>84810</v>
      </c>
      <c r="M37" s="576">
        <v>86705</v>
      </c>
      <c r="N37" s="576">
        <v>0</v>
      </c>
      <c r="O37" s="484"/>
    </row>
    <row r="38" spans="1:15" hidden="1" outlineLevel="1">
      <c r="A38" s="116"/>
      <c r="B38" s="432" t="str">
        <f>IF($C38="","",IFERROR('Comps'!B22,"DELETE"))</f>
        <v/>
      </c>
      <c r="C38" s="13" t="str">
        <f>IF('Comps'!C22="","",'Comps'!C22)</f>
        <v/>
      </c>
      <c r="D38" s="576"/>
      <c r="E38" s="576"/>
      <c r="F38" s="576"/>
      <c r="G38" s="576"/>
      <c r="H38" s="576"/>
      <c r="I38" s="576"/>
      <c r="J38" s="576"/>
      <c r="K38" s="576"/>
      <c r="L38" s="576"/>
      <c r="M38" s="576"/>
      <c r="N38" s="576"/>
      <c r="O38" s="484"/>
    </row>
    <row r="39" spans="1:15" hidden="1" outlineLevel="1">
      <c r="A39" s="116"/>
      <c r="B39" s="432" t="str">
        <f>IF($C39="","",IFERROR('Comps'!B23,"DELETE"))</f>
        <v/>
      </c>
      <c r="C39" s="13" t="str">
        <f>IF('Comps'!C23="","",'Comps'!C23)</f>
        <v/>
      </c>
      <c r="D39" s="576"/>
      <c r="E39" s="576"/>
      <c r="F39" s="576"/>
      <c r="G39" s="576"/>
      <c r="H39" s="576"/>
      <c r="I39" s="576"/>
      <c r="J39" s="576"/>
      <c r="K39" s="576"/>
      <c r="L39" s="576"/>
      <c r="M39" s="576"/>
      <c r="N39" s="576"/>
      <c r="O39" s="484"/>
    </row>
    <row r="40" spans="1:15" hidden="1" outlineLevel="1">
      <c r="A40" s="116"/>
      <c r="B40" s="432" t="str">
        <f>IF($C40="","",IFERROR('Comps'!B24,"DELETE"))</f>
        <v/>
      </c>
      <c r="C40" s="13" t="str">
        <f>IF('Comps'!C24="","",'Comps'!C24)</f>
        <v/>
      </c>
      <c r="D40" s="576"/>
      <c r="E40" s="576"/>
      <c r="F40" s="576"/>
      <c r="G40" s="576"/>
      <c r="H40" s="576"/>
      <c r="I40" s="576"/>
      <c r="J40" s="576"/>
      <c r="K40" s="576"/>
      <c r="L40" s="576"/>
      <c r="M40" s="576"/>
      <c r="N40" s="576"/>
      <c r="O40" s="484"/>
    </row>
    <row r="41" spans="1:15" hidden="1" outlineLevel="1">
      <c r="A41" s="116"/>
      <c r="B41" s="432" t="str">
        <f>IF($C41="","",IFERROR('Comps'!B25,"DELETE"))</f>
        <v/>
      </c>
      <c r="C41" s="13" t="str">
        <f>IF('Comps'!C25="","",'Comps'!C25)</f>
        <v/>
      </c>
      <c r="D41" s="576"/>
      <c r="E41" s="576"/>
      <c r="F41" s="576"/>
      <c r="G41" s="576"/>
      <c r="H41" s="576"/>
      <c r="I41" s="576"/>
      <c r="J41" s="576"/>
      <c r="K41" s="576"/>
      <c r="L41" s="576"/>
      <c r="M41" s="576"/>
      <c r="N41" s="576"/>
      <c r="O41" s="484"/>
    </row>
    <row r="42" spans="1:15" hidden="1" outlineLevel="1">
      <c r="A42" s="116"/>
      <c r="B42" s="432" t="str">
        <f>IF($C42="","",IFERROR('Comps'!B26,"DELETE"))</f>
        <v/>
      </c>
      <c r="C42" s="13" t="str">
        <f>IF('Comps'!C26="","",'Comps'!C26)</f>
        <v/>
      </c>
      <c r="D42" s="576"/>
      <c r="E42" s="576"/>
      <c r="F42" s="576"/>
      <c r="G42" s="576"/>
      <c r="H42" s="576"/>
      <c r="I42" s="576"/>
      <c r="J42" s="576"/>
      <c r="K42" s="576"/>
      <c r="L42" s="576"/>
      <c r="M42" s="576"/>
      <c r="N42" s="576"/>
      <c r="O42" s="484"/>
    </row>
    <row r="43" spans="1:15" hidden="1" outlineLevel="1">
      <c r="A43" s="116"/>
      <c r="B43" s="432" t="str">
        <f>IF($C43="","",IFERROR('Comps'!B27,"DELETE"))</f>
        <v/>
      </c>
      <c r="C43" s="13" t="str">
        <f>IF('Comps'!C27="","",'Comps'!C27)</f>
        <v/>
      </c>
      <c r="D43" s="576"/>
      <c r="E43" s="576"/>
      <c r="F43" s="576"/>
      <c r="G43" s="576"/>
      <c r="H43" s="576"/>
      <c r="I43" s="576"/>
      <c r="J43" s="576"/>
      <c r="K43" s="576"/>
      <c r="L43" s="576"/>
      <c r="M43" s="576"/>
      <c r="N43" s="576"/>
      <c r="O43" s="485"/>
    </row>
    <row r="44" spans="1:15" ht="4.4000000000000004" hidden="1" customHeight="1" outlineLevel="1" thickBot="1">
      <c r="A44" s="116"/>
      <c r="B44" s="352"/>
      <c r="C44" s="353"/>
      <c r="D44" s="355"/>
      <c r="E44" s="355"/>
      <c r="F44" s="355"/>
      <c r="G44" s="355"/>
      <c r="H44" s="355"/>
      <c r="I44" s="355"/>
      <c r="J44" s="355"/>
      <c r="K44" s="355"/>
      <c r="L44" s="355"/>
      <c r="M44" s="355"/>
      <c r="N44" s="355"/>
      <c r="O44" s="356"/>
    </row>
    <row r="45" spans="1:15" hidden="1" outlineLevel="1">
      <c r="B45" s="665" t="s">
        <v>324</v>
      </c>
      <c r="D45" s="105"/>
      <c r="E45" s="105"/>
      <c r="F45" s="105"/>
      <c r="G45" s="105"/>
      <c r="H45" s="105"/>
      <c r="I45" s="105"/>
      <c r="J45" s="105"/>
      <c r="K45" s="105"/>
      <c r="L45" s="105"/>
      <c r="M45" s="105"/>
      <c r="N45" s="105"/>
      <c r="O45" s="104"/>
    </row>
    <row r="46" spans="1:15" hidden="1" outlineLevel="1">
      <c r="D46" s="105"/>
      <c r="E46" s="105"/>
      <c r="F46" s="105"/>
      <c r="G46" s="105"/>
      <c r="H46" s="105"/>
      <c r="I46" s="105"/>
      <c r="J46" s="105"/>
      <c r="K46" s="105"/>
      <c r="L46" s="105"/>
      <c r="M46" s="105"/>
      <c r="N46" s="105"/>
    </row>
    <row r="47" spans="1:15" ht="10.5" hidden="1" outlineLevel="1">
      <c r="B47" s="666" t="s">
        <v>58</v>
      </c>
      <c r="C47" s="666"/>
      <c r="D47" s="667"/>
      <c r="E47" s="667"/>
      <c r="F47" s="667"/>
      <c r="G47" s="667"/>
      <c r="H47" s="667"/>
      <c r="I47" s="667"/>
      <c r="J47" s="667"/>
      <c r="K47" s="667"/>
      <c r="L47" s="667"/>
      <c r="M47" s="667"/>
      <c r="N47" s="667"/>
    </row>
    <row r="48" spans="1:15" ht="10.5" hidden="1" outlineLevel="1">
      <c r="B48" s="418" t="str">
        <f>"("&amp;curr&amp;" "&amp;LEFT($L$2,1)&amp;")"</f>
        <v>(USD m)</v>
      </c>
      <c r="C48" s="419" t="s">
        <v>123</v>
      </c>
      <c r="D48" s="760" t="str">
        <f>D$8</f>
        <v>FY2015</v>
      </c>
      <c r="E48" s="760" t="str">
        <f t="shared" ref="E48:N48" si="2">E$8</f>
        <v>FY2016</v>
      </c>
      <c r="F48" s="760" t="str">
        <f t="shared" si="2"/>
        <v>FY2017</v>
      </c>
      <c r="G48" s="760" t="str">
        <f t="shared" si="2"/>
        <v>FY2018</v>
      </c>
      <c r="H48" s="760" t="str">
        <f t="shared" si="2"/>
        <v>FY2019</v>
      </c>
      <c r="I48" s="760" t="str">
        <f t="shared" si="2"/>
        <v>FY2020</v>
      </c>
      <c r="J48" s="760" t="str">
        <f t="shared" si="2"/>
        <v>FY2021</v>
      </c>
      <c r="K48" s="760" t="str">
        <f t="shared" si="2"/>
        <v>FY2022</v>
      </c>
      <c r="L48" s="760" t="str">
        <f t="shared" si="2"/>
        <v>FY2023</v>
      </c>
      <c r="M48" s="760" t="str">
        <f t="shared" si="2"/>
        <v>FY2024</v>
      </c>
      <c r="N48" s="760" t="str">
        <f t="shared" si="2"/>
        <v>FY2025</v>
      </c>
      <c r="O48" s="13"/>
    </row>
    <row r="49" spans="1:15" hidden="1" outlineLevel="1">
      <c r="A49" s="116"/>
      <c r="B49" s="432" t="str">
        <f>IF($C49="","",IFERROR('Comps'!B13,"DELETE"))</f>
        <v>Netflix, Inc.</v>
      </c>
      <c r="C49" s="13" t="str">
        <f>IF('Comps'!C13="","",'Comps'!C13)</f>
        <v>NasdaqGS:NFLX</v>
      </c>
      <c r="D49" s="576">
        <v>368.10899999999998</v>
      </c>
      <c r="E49" s="576">
        <v>437.32100000000003</v>
      </c>
      <c r="F49" s="576">
        <v>910.59</v>
      </c>
      <c r="G49" s="576">
        <v>1688.383</v>
      </c>
      <c r="H49" s="576">
        <v>2707.8330000000001</v>
      </c>
      <c r="I49" s="576">
        <v>4700.9989999999998</v>
      </c>
      <c r="J49" s="576">
        <v>6402.9210000000003</v>
      </c>
      <c r="K49" s="576">
        <v>5969.5129999999999</v>
      </c>
      <c r="L49" s="576">
        <v>7310.95</v>
      </c>
      <c r="M49" s="576">
        <v>10746.528</v>
      </c>
      <c r="N49" s="576">
        <v>0</v>
      </c>
      <c r="O49" s="484"/>
    </row>
    <row r="50" spans="1:15" hidden="1" outlineLevel="1">
      <c r="A50" s="116"/>
      <c r="B50" s="432" t="str">
        <f>IF($C50="","",IFERROR('Comps'!B14,"DELETE"))</f>
        <v>Spotify Technology S.A.</v>
      </c>
      <c r="C50" s="13" t="str">
        <f>IF('Comps'!C14="","",'Comps'!C14)</f>
        <v>NYSE:SPOT</v>
      </c>
      <c r="D50" s="576">
        <v>-222.69296</v>
      </c>
      <c r="E50" s="576">
        <v>-328.30149</v>
      </c>
      <c r="F50" s="576">
        <v>-389.04899</v>
      </c>
      <c r="G50" s="576">
        <v>-12.59446</v>
      </c>
      <c r="H50" s="576">
        <v>31.42184</v>
      </c>
      <c r="I50" s="576">
        <v>-222.62996999999999</v>
      </c>
      <c r="J50" s="576">
        <v>251.33628999999999</v>
      </c>
      <c r="K50" s="576">
        <v>-521.53467999999998</v>
      </c>
      <c r="L50" s="576">
        <v>8.8427100000000003</v>
      </c>
      <c r="M50" s="576">
        <v>1529.1438000000001</v>
      </c>
      <c r="N50" s="576">
        <v>0</v>
      </c>
      <c r="O50" s="484"/>
    </row>
    <row r="51" spans="1:15" hidden="1" outlineLevel="1">
      <c r="A51" s="116"/>
      <c r="B51" s="432" t="str">
        <f>IF($C51="","",IFERROR('Comps'!B15,"DELETE"))</f>
        <v>Roku, Inc.</v>
      </c>
      <c r="C51" s="13" t="str">
        <f>IF('Comps'!C15="","",'Comps'!C15)</f>
        <v>NasdaqGS:ROKU</v>
      </c>
      <c r="D51" s="576">
        <v>-35.296999999999997</v>
      </c>
      <c r="E51" s="576">
        <v>-38.759</v>
      </c>
      <c r="F51" s="576">
        <v>-15.58</v>
      </c>
      <c r="G51" s="576">
        <v>-7.5069999999999997</v>
      </c>
      <c r="H51" s="576">
        <v>-48.076000000000001</v>
      </c>
      <c r="I51" s="576">
        <v>37.844999999999999</v>
      </c>
      <c r="J51" s="576">
        <v>372.291</v>
      </c>
      <c r="K51" s="576">
        <v>-209.74199999999999</v>
      </c>
      <c r="L51" s="576">
        <v>-157.98400000000001</v>
      </c>
      <c r="M51" s="576">
        <v>81.885999999999996</v>
      </c>
      <c r="N51" s="576">
        <v>0</v>
      </c>
      <c r="O51" s="484"/>
    </row>
    <row r="52" spans="1:15" hidden="1" outlineLevel="1">
      <c r="A52" s="116"/>
      <c r="B52" s="432" t="str">
        <f>IF($C52="","",IFERROR('Comps'!B16,"DELETE"))</f>
        <v>Iqiyi, Inc.</v>
      </c>
      <c r="C52" s="13" t="str">
        <f>IF('Comps'!C16="","",'Comps'!C16)</f>
        <v>NasdaqGS:IQ</v>
      </c>
      <c r="D52" s="576">
        <v>75.889719999999997</v>
      </c>
      <c r="E52" s="576">
        <v>351.71717000000001</v>
      </c>
      <c r="F52" s="576">
        <v>793.87278000000003</v>
      </c>
      <c r="G52" s="576">
        <v>640.94072000000006</v>
      </c>
      <c r="H52" s="576">
        <v>708.65788999999995</v>
      </c>
      <c r="I52" s="576">
        <v>1077.7425499999999</v>
      </c>
      <c r="J52" s="576">
        <v>1024.0654199999999</v>
      </c>
      <c r="K52" s="576">
        <v>1402.78809</v>
      </c>
      <c r="L52" s="576">
        <v>1520.9505200000001</v>
      </c>
      <c r="M52" s="576">
        <v>1320.5281500000001</v>
      </c>
      <c r="N52" s="576">
        <v>0</v>
      </c>
      <c r="O52" s="484"/>
    </row>
    <row r="53" spans="1:15" hidden="1" outlineLevel="1">
      <c r="A53" s="116"/>
      <c r="B53" s="432" t="str">
        <f>IF($C53="","",IFERROR('Comps'!B17,"DELETE"))</f>
        <v>Bilibili Inc.</v>
      </c>
      <c r="C53" s="13" t="str">
        <f>IF('Comps'!C17="","",'Comps'!C17)</f>
        <v>NasdaqGS:BILI</v>
      </c>
      <c r="D53" s="576">
        <v>-50.312980000000003</v>
      </c>
      <c r="E53" s="576">
        <v>-105.59654</v>
      </c>
      <c r="F53" s="576">
        <v>12.31438</v>
      </c>
      <c r="G53" s="576">
        <v>-12.58095</v>
      </c>
      <c r="H53" s="576">
        <v>-57.128210000000003</v>
      </c>
      <c r="I53" s="576">
        <v>-217.40066999999999</v>
      </c>
      <c r="J53" s="576">
        <v>-627.65592000000004</v>
      </c>
      <c r="K53" s="576">
        <v>-728.00077999999996</v>
      </c>
      <c r="L53" s="576">
        <v>-329.12536</v>
      </c>
      <c r="M53" s="576">
        <v>134.64207999999999</v>
      </c>
      <c r="N53" s="576">
        <v>0</v>
      </c>
      <c r="O53" s="484"/>
    </row>
    <row r="54" spans="1:15" hidden="1" outlineLevel="1">
      <c r="A54" s="116"/>
      <c r="B54" s="432" t="str">
        <f>IF($C54="","",IFERROR('Comps'!B18,"DELETE"))</f>
        <v>The Walt Disney Company</v>
      </c>
      <c r="C54" s="13" t="str">
        <f>IF('Comps'!C18="","",'Comps'!C18)</f>
        <v>NYSE:DIS</v>
      </c>
      <c r="D54" s="576">
        <v>15578</v>
      </c>
      <c r="E54" s="576">
        <v>17014</v>
      </c>
      <c r="F54" s="576">
        <v>16655</v>
      </c>
      <c r="G54" s="576">
        <v>17848</v>
      </c>
      <c r="H54" s="576">
        <v>16197</v>
      </c>
      <c r="I54" s="576">
        <v>9126</v>
      </c>
      <c r="J54" s="576">
        <v>8603</v>
      </c>
      <c r="K54" s="576">
        <v>11995</v>
      </c>
      <c r="L54" s="576">
        <v>14701</v>
      </c>
      <c r="M54" s="576">
        <v>17308</v>
      </c>
      <c r="N54" s="576">
        <v>19419</v>
      </c>
      <c r="O54" s="484"/>
    </row>
    <row r="55" spans="1:15" hidden="1" outlineLevel="1">
      <c r="A55" s="116"/>
      <c r="B55" s="432" t="str">
        <f>IF($C55="","",IFERROR('Comps'!B19,"DELETE"))</f>
        <v>Warner Bros. Discovery, Inc.</v>
      </c>
      <c r="C55" s="13" t="str">
        <f>IF('Comps'!C19="","",'Comps'!C19)</f>
        <v>NasdaqGS:WBD</v>
      </c>
      <c r="D55" s="576">
        <v>2442</v>
      </c>
      <c r="E55" s="576">
        <v>2444</v>
      </c>
      <c r="F55" s="576">
        <v>2560</v>
      </c>
      <c r="G55" s="576">
        <v>4133</v>
      </c>
      <c r="H55" s="576">
        <v>4630</v>
      </c>
      <c r="I55" s="576">
        <v>4143</v>
      </c>
      <c r="J55" s="576">
        <v>3655</v>
      </c>
      <c r="K55" s="576">
        <v>4943</v>
      </c>
      <c r="L55" s="576">
        <v>7409</v>
      </c>
      <c r="M55" s="576">
        <v>7671</v>
      </c>
      <c r="N55" s="576">
        <v>0</v>
      </c>
      <c r="O55" s="484"/>
    </row>
    <row r="56" spans="1:15" hidden="1" outlineLevel="1">
      <c r="A56" s="116"/>
      <c r="B56" s="432" t="str">
        <f>IF($C56="","",IFERROR('Comps'!B20,"DELETE"))</f>
        <v>Paramount Skydance Corporation</v>
      </c>
      <c r="C56" s="13" t="str">
        <f>IF('Comps'!C20="","",'Comps'!C20)</f>
        <v>NasdaqGS:PSKY</v>
      </c>
      <c r="D56" s="576">
        <v>2799</v>
      </c>
      <c r="E56" s="576">
        <v>3077</v>
      </c>
      <c r="F56" s="576">
        <v>5800</v>
      </c>
      <c r="G56" s="576">
        <v>5913</v>
      </c>
      <c r="H56" s="576">
        <v>5294</v>
      </c>
      <c r="I56" s="576">
        <v>5058</v>
      </c>
      <c r="J56" s="576">
        <v>4391</v>
      </c>
      <c r="K56" s="576">
        <v>3211</v>
      </c>
      <c r="L56" s="576">
        <v>2273</v>
      </c>
      <c r="M56" s="576">
        <v>2917</v>
      </c>
      <c r="N56" s="576">
        <v>0</v>
      </c>
      <c r="O56" s="484"/>
    </row>
    <row r="57" spans="1:15" hidden="1" outlineLevel="1">
      <c r="A57" s="116"/>
      <c r="B57" s="432" t="str">
        <f>IF($C57="","",IFERROR('Comps'!B21,"DELETE"))</f>
        <v>Comcast Corporation</v>
      </c>
      <c r="C57" s="13" t="str">
        <f>IF('Comps'!C21="","",'Comps'!C21)</f>
        <v>NasdaqGS:CMCSA</v>
      </c>
      <c r="D57" s="576">
        <v>24678</v>
      </c>
      <c r="E57" s="576">
        <v>26318</v>
      </c>
      <c r="F57" s="576">
        <v>27706</v>
      </c>
      <c r="G57" s="576">
        <v>30165</v>
      </c>
      <c r="H57" s="576">
        <v>34078</v>
      </c>
      <c r="I57" s="576">
        <v>30593</v>
      </c>
      <c r="J57" s="576">
        <v>34621</v>
      </c>
      <c r="K57" s="576">
        <v>36445</v>
      </c>
      <c r="L57" s="576">
        <v>37649</v>
      </c>
      <c r="M57" s="576">
        <v>38100</v>
      </c>
      <c r="N57" s="576">
        <v>0</v>
      </c>
      <c r="O57" s="484"/>
    </row>
    <row r="58" spans="1:15" hidden="1" outlineLevel="1">
      <c r="A58" s="116"/>
      <c r="B58" s="432" t="str">
        <f>IF($C58="","",IFERROR('Comps'!B22,"DELETE"))</f>
        <v/>
      </c>
      <c r="C58" s="13" t="str">
        <f>IF('Comps'!C22="","",'Comps'!C22)</f>
        <v/>
      </c>
      <c r="D58" s="576"/>
      <c r="E58" s="576"/>
      <c r="F58" s="576"/>
      <c r="G58" s="576"/>
      <c r="H58" s="576"/>
      <c r="I58" s="576"/>
      <c r="J58" s="576"/>
      <c r="K58" s="576"/>
      <c r="L58" s="576"/>
      <c r="M58" s="576"/>
      <c r="N58" s="576"/>
      <c r="O58" s="484"/>
    </row>
    <row r="59" spans="1:15" hidden="1" outlineLevel="1">
      <c r="A59" s="116"/>
      <c r="B59" s="432" t="str">
        <f>IF($C59="","",IFERROR('Comps'!B23,"DELETE"))</f>
        <v/>
      </c>
      <c r="C59" s="13" t="str">
        <f>IF('Comps'!C23="","",'Comps'!C23)</f>
        <v/>
      </c>
      <c r="D59" s="576"/>
      <c r="E59" s="576"/>
      <c r="F59" s="576"/>
      <c r="G59" s="576"/>
      <c r="H59" s="576"/>
      <c r="I59" s="576"/>
      <c r="J59" s="576"/>
      <c r="K59" s="576"/>
      <c r="L59" s="576"/>
      <c r="M59" s="576"/>
      <c r="N59" s="576"/>
      <c r="O59" s="484"/>
    </row>
    <row r="60" spans="1:15" hidden="1" outlineLevel="1">
      <c r="A60" s="116"/>
      <c r="B60" s="432" t="str">
        <f>IF($C60="","",IFERROR('Comps'!B24,"DELETE"))</f>
        <v/>
      </c>
      <c r="C60" s="13" t="str">
        <f>IF('Comps'!C24="","",'Comps'!C24)</f>
        <v/>
      </c>
      <c r="D60" s="576"/>
      <c r="E60" s="576"/>
      <c r="F60" s="576"/>
      <c r="G60" s="576"/>
      <c r="H60" s="576"/>
      <c r="I60" s="576"/>
      <c r="J60" s="576"/>
      <c r="K60" s="576"/>
      <c r="L60" s="576"/>
      <c r="M60" s="576"/>
      <c r="N60" s="576"/>
      <c r="O60" s="484"/>
    </row>
    <row r="61" spans="1:15" hidden="1" outlineLevel="1">
      <c r="A61" s="116"/>
      <c r="B61" s="432" t="str">
        <f>IF($C61="","",IFERROR('Comps'!B25,"DELETE"))</f>
        <v/>
      </c>
      <c r="C61" s="13" t="str">
        <f>IF('Comps'!C25="","",'Comps'!C25)</f>
        <v/>
      </c>
      <c r="D61" s="576"/>
      <c r="E61" s="576"/>
      <c r="F61" s="576"/>
      <c r="G61" s="576"/>
      <c r="H61" s="576"/>
      <c r="I61" s="576"/>
      <c r="J61" s="576"/>
      <c r="K61" s="576"/>
      <c r="L61" s="576"/>
      <c r="M61" s="576"/>
      <c r="N61" s="576"/>
      <c r="O61" s="484"/>
    </row>
    <row r="62" spans="1:15" hidden="1" outlineLevel="1">
      <c r="A62" s="116"/>
      <c r="B62" s="432" t="str">
        <f>IF($C62="","",IFERROR('Comps'!B26,"DELETE"))</f>
        <v/>
      </c>
      <c r="C62" s="13" t="str">
        <f>IF('Comps'!C26="","",'Comps'!C26)</f>
        <v/>
      </c>
      <c r="D62" s="576"/>
      <c r="E62" s="576"/>
      <c r="F62" s="576"/>
      <c r="G62" s="576"/>
      <c r="H62" s="576"/>
      <c r="I62" s="576"/>
      <c r="J62" s="576"/>
      <c r="K62" s="576"/>
      <c r="L62" s="576"/>
      <c r="M62" s="576"/>
      <c r="N62" s="576"/>
      <c r="O62" s="484"/>
    </row>
    <row r="63" spans="1:15" hidden="1" outlineLevel="1">
      <c r="A63" s="116"/>
      <c r="B63" s="432" t="str">
        <f>IF($C63="","",IFERROR('Comps'!B27,"DELETE"))</f>
        <v/>
      </c>
      <c r="C63" s="13" t="str">
        <f>IF('Comps'!C27="","",'Comps'!C27)</f>
        <v/>
      </c>
      <c r="D63" s="576"/>
      <c r="E63" s="576"/>
      <c r="F63" s="576"/>
      <c r="G63" s="576"/>
      <c r="H63" s="576"/>
      <c r="I63" s="576"/>
      <c r="J63" s="576"/>
      <c r="K63" s="576"/>
      <c r="L63" s="576"/>
      <c r="M63" s="576"/>
      <c r="N63" s="576"/>
      <c r="O63" s="485"/>
    </row>
    <row r="64" spans="1:15" ht="4.4000000000000004" hidden="1" customHeight="1" outlineLevel="1" thickBot="1">
      <c r="A64" s="116"/>
      <c r="B64" s="352"/>
      <c r="C64" s="353"/>
      <c r="D64" s="355"/>
      <c r="E64" s="355"/>
      <c r="F64" s="355"/>
      <c r="G64" s="355"/>
      <c r="H64" s="355"/>
      <c r="I64" s="355"/>
      <c r="J64" s="355"/>
      <c r="K64" s="355"/>
      <c r="L64" s="355"/>
      <c r="M64" s="355"/>
      <c r="N64" s="355"/>
      <c r="O64" s="356"/>
    </row>
    <row r="65" spans="1:15" hidden="1" outlineLevel="1">
      <c r="B65" s="665" t="s">
        <v>324</v>
      </c>
      <c r="D65" s="105"/>
      <c r="E65" s="105"/>
      <c r="F65" s="105"/>
      <c r="G65" s="105"/>
      <c r="H65" s="105"/>
      <c r="I65" s="105"/>
      <c r="J65" s="105"/>
      <c r="K65" s="105"/>
      <c r="L65" s="105"/>
      <c r="M65" s="105"/>
      <c r="N65" s="105"/>
      <c r="O65" s="104"/>
    </row>
    <row r="66" spans="1:15" hidden="1" outlineLevel="1">
      <c r="D66" s="105"/>
      <c r="E66" s="105"/>
      <c r="F66" s="105"/>
      <c r="G66" s="105"/>
      <c r="H66" s="105"/>
      <c r="I66" s="105"/>
      <c r="J66" s="105"/>
      <c r="K66" s="105"/>
      <c r="L66" s="105"/>
      <c r="M66" s="105"/>
      <c r="N66" s="105"/>
    </row>
    <row r="67" spans="1:15" ht="10.5" hidden="1" outlineLevel="1">
      <c r="B67" s="666" t="s">
        <v>59</v>
      </c>
      <c r="C67" s="666"/>
      <c r="D67" s="667"/>
      <c r="E67" s="667"/>
      <c r="F67" s="667"/>
      <c r="G67" s="667"/>
      <c r="H67" s="667"/>
      <c r="I67" s="667"/>
      <c r="J67" s="667"/>
      <c r="K67" s="667"/>
      <c r="L67" s="667"/>
      <c r="M67" s="667"/>
      <c r="N67" s="667"/>
    </row>
    <row r="68" spans="1:15" ht="10.5" hidden="1" outlineLevel="1">
      <c r="B68" s="418" t="str">
        <f>"("&amp;curr&amp;" "&amp;LEFT($L$2,1)&amp;")"</f>
        <v>(USD m)</v>
      </c>
      <c r="C68" s="419" t="s">
        <v>123</v>
      </c>
      <c r="D68" s="760" t="str">
        <f>D$8</f>
        <v>FY2015</v>
      </c>
      <c r="E68" s="760" t="str">
        <f t="shared" ref="E68:N68" si="3">E$8</f>
        <v>FY2016</v>
      </c>
      <c r="F68" s="760" t="str">
        <f t="shared" si="3"/>
        <v>FY2017</v>
      </c>
      <c r="G68" s="760" t="str">
        <f t="shared" si="3"/>
        <v>FY2018</v>
      </c>
      <c r="H68" s="760" t="str">
        <f t="shared" si="3"/>
        <v>FY2019</v>
      </c>
      <c r="I68" s="760" t="str">
        <f t="shared" si="3"/>
        <v>FY2020</v>
      </c>
      <c r="J68" s="760" t="str">
        <f t="shared" si="3"/>
        <v>FY2021</v>
      </c>
      <c r="K68" s="760" t="str">
        <f t="shared" si="3"/>
        <v>FY2022</v>
      </c>
      <c r="L68" s="760" t="str">
        <f t="shared" si="3"/>
        <v>FY2023</v>
      </c>
      <c r="M68" s="760" t="str">
        <f t="shared" si="3"/>
        <v>FY2024</v>
      </c>
      <c r="N68" s="760" t="str">
        <f t="shared" si="3"/>
        <v>FY2025</v>
      </c>
      <c r="O68" s="13"/>
    </row>
    <row r="69" spans="1:15" hidden="1" outlineLevel="1">
      <c r="A69" s="116"/>
      <c r="B69" s="432" t="str">
        <f>IF($C69="","",IFERROR('Comps'!B13,"DELETE"))</f>
        <v>Netflix, Inc.</v>
      </c>
      <c r="C69" s="13" t="str">
        <f>IF('Comps'!C13="","",'Comps'!C13)</f>
        <v>NasdaqGS:NFLX</v>
      </c>
      <c r="D69" s="576">
        <v>305.82600000000002</v>
      </c>
      <c r="E69" s="576">
        <v>379.79300000000001</v>
      </c>
      <c r="F69" s="576">
        <v>838.67899999999997</v>
      </c>
      <c r="G69" s="576">
        <v>1605.2260000000001</v>
      </c>
      <c r="H69" s="576">
        <v>2604.2539999999999</v>
      </c>
      <c r="I69" s="576">
        <v>4585.2889999999998</v>
      </c>
      <c r="J69" s="576">
        <v>6194.509</v>
      </c>
      <c r="K69" s="576">
        <v>5632.8310000000001</v>
      </c>
      <c r="L69" s="576">
        <v>6954.0029999999997</v>
      </c>
      <c r="M69" s="576">
        <v>10417.614</v>
      </c>
      <c r="N69" s="576">
        <v>0</v>
      </c>
      <c r="O69" s="484"/>
    </row>
    <row r="70" spans="1:15" hidden="1" outlineLevel="1">
      <c r="A70" s="116"/>
      <c r="B70" s="432" t="str">
        <f>IF($C70="","",IFERROR('Comps'!B14,"DELETE"))</f>
        <v>Spotify Technology S.A.</v>
      </c>
      <c r="C70" s="13" t="str">
        <f>IF('Comps'!C14="","",'Comps'!C14)</f>
        <v>NYSE:SPOT</v>
      </c>
      <c r="D70" s="576">
        <v>-255.28217000000001</v>
      </c>
      <c r="E70" s="576">
        <v>-368.41550000000001</v>
      </c>
      <c r="F70" s="576">
        <v>-453.89049</v>
      </c>
      <c r="G70" s="576">
        <v>-49.232880000000002</v>
      </c>
      <c r="H70" s="576">
        <v>-66.210300000000004</v>
      </c>
      <c r="I70" s="576">
        <v>-358.40978999999999</v>
      </c>
      <c r="J70" s="576">
        <v>106.90322</v>
      </c>
      <c r="K70" s="576">
        <v>-704.28556000000003</v>
      </c>
      <c r="L70" s="576">
        <v>-90.637780000000006</v>
      </c>
      <c r="M70" s="576">
        <v>1457.70784</v>
      </c>
      <c r="N70" s="576">
        <v>0</v>
      </c>
      <c r="O70" s="484"/>
    </row>
    <row r="71" spans="1:15" hidden="1" outlineLevel="1">
      <c r="A71" s="116"/>
      <c r="B71" s="432" t="str">
        <f>IF($C71="","",IFERROR('Comps'!B15,"DELETE"))</f>
        <v>Roku, Inc.</v>
      </c>
      <c r="C71" s="13" t="str">
        <f>IF('Comps'!C15="","",'Comps'!C15)</f>
        <v>NasdaqGS:ROKU</v>
      </c>
      <c r="D71" s="576">
        <v>-37.552</v>
      </c>
      <c r="E71" s="576">
        <v>-43.360999999999997</v>
      </c>
      <c r="F71" s="576">
        <v>-19.616</v>
      </c>
      <c r="G71" s="576">
        <v>-13.295999999999999</v>
      </c>
      <c r="H71" s="576">
        <v>-65.058999999999997</v>
      </c>
      <c r="I71" s="576">
        <v>-20.253</v>
      </c>
      <c r="J71" s="576">
        <v>235.1</v>
      </c>
      <c r="K71" s="576">
        <v>-492.74799999999999</v>
      </c>
      <c r="L71" s="576">
        <v>-436.28300000000002</v>
      </c>
      <c r="M71" s="576">
        <v>-187.16800000000001</v>
      </c>
      <c r="N71" s="576">
        <v>0</v>
      </c>
      <c r="O71" s="484"/>
    </row>
    <row r="72" spans="1:15" hidden="1" outlineLevel="1">
      <c r="A72" s="116"/>
      <c r="B72" s="432" t="str">
        <f>IF($C72="","",IFERROR('Comps'!B16,"DELETE"))</f>
        <v>Iqiyi, Inc.</v>
      </c>
      <c r="C72" s="13" t="str">
        <f>IF('Comps'!C16="","",'Comps'!C16)</f>
        <v>NasdaqGS:IQ</v>
      </c>
      <c r="D72" s="576">
        <v>-373.90850999999998</v>
      </c>
      <c r="E72" s="576">
        <v>-371.18342999999999</v>
      </c>
      <c r="F72" s="576">
        <v>-547.55466999999999</v>
      </c>
      <c r="G72" s="576">
        <v>-1207.7054800000001</v>
      </c>
      <c r="H72" s="576">
        <v>-1315.3630000000001</v>
      </c>
      <c r="I72" s="576">
        <v>-799.50617</v>
      </c>
      <c r="J72" s="576">
        <v>-651.62075000000004</v>
      </c>
      <c r="K72" s="576">
        <v>200.07248999999999</v>
      </c>
      <c r="L72" s="576">
        <v>457.29090000000002</v>
      </c>
      <c r="M72" s="576">
        <v>261.19385</v>
      </c>
      <c r="N72" s="576">
        <v>0</v>
      </c>
      <c r="O72" s="484"/>
    </row>
    <row r="73" spans="1:15" hidden="1" outlineLevel="1">
      <c r="A73" s="116"/>
      <c r="B73" s="432" t="str">
        <f>IF($C73="","",IFERROR('Comps'!B17,"DELETE"))</f>
        <v>Bilibili Inc.</v>
      </c>
      <c r="C73" s="13" t="str">
        <f>IF('Comps'!C17="","",'Comps'!C17)</f>
        <v>NasdaqGS:BILI</v>
      </c>
      <c r="D73" s="576">
        <v>-56.816789999999997</v>
      </c>
      <c r="E73" s="576">
        <v>-128.85863000000001</v>
      </c>
      <c r="F73" s="576">
        <v>-34.467860000000002</v>
      </c>
      <c r="G73" s="576">
        <v>-105.99081</v>
      </c>
      <c r="H73" s="576">
        <v>-214.73452</v>
      </c>
      <c r="I73" s="576">
        <v>-481.10820000000001</v>
      </c>
      <c r="J73" s="576">
        <v>-1012.03822</v>
      </c>
      <c r="K73" s="576">
        <v>-1211.7879700000001</v>
      </c>
      <c r="L73" s="576">
        <v>-714.18113000000005</v>
      </c>
      <c r="M73" s="576">
        <v>-184.12804</v>
      </c>
      <c r="N73" s="576">
        <v>0</v>
      </c>
      <c r="O73" s="484"/>
    </row>
    <row r="74" spans="1:15" hidden="1" outlineLevel="1">
      <c r="A74" s="116"/>
      <c r="B74" s="432" t="str">
        <f>IF($C74="","",IFERROR('Comps'!B18,"DELETE"))</f>
        <v>The Walt Disney Company</v>
      </c>
      <c r="C74" s="13" t="str">
        <f>IF('Comps'!C18="","",'Comps'!C18)</f>
        <v>NYSE:DIS</v>
      </c>
      <c r="D74" s="576">
        <v>13224</v>
      </c>
      <c r="E74" s="576">
        <v>14487</v>
      </c>
      <c r="F74" s="576">
        <v>13873</v>
      </c>
      <c r="G74" s="576">
        <v>14837</v>
      </c>
      <c r="H74" s="576">
        <v>12030</v>
      </c>
      <c r="I74" s="576">
        <v>3781</v>
      </c>
      <c r="J74" s="576">
        <v>3492</v>
      </c>
      <c r="K74" s="576">
        <v>6832</v>
      </c>
      <c r="L74" s="576">
        <v>9332</v>
      </c>
      <c r="M74" s="576">
        <v>12318</v>
      </c>
      <c r="N74" s="576">
        <v>14093</v>
      </c>
      <c r="O74" s="484"/>
    </row>
    <row r="75" spans="1:15" hidden="1" outlineLevel="1">
      <c r="A75" s="116"/>
      <c r="B75" s="432" t="str">
        <f>IF($C75="","",IFERROR('Comps'!B19,"DELETE"))</f>
        <v>Warner Bros. Discovery, Inc.</v>
      </c>
      <c r="C75" s="13" t="str">
        <f>IF('Comps'!C19="","",'Comps'!C19)</f>
        <v>NasdaqGS:WBD</v>
      </c>
      <c r="D75" s="576">
        <v>2112</v>
      </c>
      <c r="E75" s="576">
        <v>2122</v>
      </c>
      <c r="F75" s="576">
        <v>2230</v>
      </c>
      <c r="G75" s="576">
        <v>2735</v>
      </c>
      <c r="H75" s="576">
        <v>3283</v>
      </c>
      <c r="I75" s="576">
        <v>2784</v>
      </c>
      <c r="J75" s="576">
        <v>2073</v>
      </c>
      <c r="K75" s="576">
        <v>-2250</v>
      </c>
      <c r="L75" s="576">
        <v>-576</v>
      </c>
      <c r="M75" s="576">
        <v>634</v>
      </c>
      <c r="N75" s="576">
        <v>0</v>
      </c>
      <c r="O75" s="484"/>
    </row>
    <row r="76" spans="1:15" hidden="1" outlineLevel="1">
      <c r="A76" s="116"/>
      <c r="B76" s="432" t="str">
        <f>IF($C76="","",IFERROR('Comps'!B20,"DELETE"))</f>
        <v>Paramount Skydance Corporation</v>
      </c>
      <c r="C76" s="13" t="str">
        <f>IF('Comps'!C20="","",'Comps'!C20)</f>
        <v>NasdaqGS:PSKY</v>
      </c>
      <c r="D76" s="576">
        <v>2564</v>
      </c>
      <c r="E76" s="576">
        <v>2852</v>
      </c>
      <c r="F76" s="576">
        <v>5357</v>
      </c>
      <c r="G76" s="576">
        <v>5486</v>
      </c>
      <c r="H76" s="576">
        <v>4876</v>
      </c>
      <c r="I76" s="576">
        <v>4665</v>
      </c>
      <c r="J76" s="576">
        <v>4001</v>
      </c>
      <c r="K76" s="576">
        <v>2833</v>
      </c>
      <c r="L76" s="576">
        <v>1855</v>
      </c>
      <c r="M76" s="576">
        <v>2525</v>
      </c>
      <c r="N76" s="576">
        <v>0</v>
      </c>
      <c r="O76" s="484"/>
    </row>
    <row r="77" spans="1:15" hidden="1" outlineLevel="1">
      <c r="A77" s="116"/>
      <c r="B77" s="432" t="str">
        <f>IF($C77="","",IFERROR('Comps'!B21,"DELETE"))</f>
        <v>Comcast Corporation</v>
      </c>
      <c r="C77" s="13" t="str">
        <f>IF('Comps'!C21="","",'Comps'!C21)</f>
        <v>NasdaqGS:CMCSA</v>
      </c>
      <c r="D77" s="576">
        <v>15998</v>
      </c>
      <c r="E77" s="576">
        <v>16892</v>
      </c>
      <c r="F77" s="576">
        <v>17576</v>
      </c>
      <c r="G77" s="576">
        <v>19148</v>
      </c>
      <c r="H77" s="576">
        <v>21125</v>
      </c>
      <c r="I77" s="576">
        <v>17493</v>
      </c>
      <c r="J77" s="576">
        <v>20817</v>
      </c>
      <c r="K77" s="576">
        <v>22624</v>
      </c>
      <c r="L77" s="576">
        <v>23313</v>
      </c>
      <c r="M77" s="576">
        <v>23298</v>
      </c>
      <c r="N77" s="576">
        <v>0</v>
      </c>
      <c r="O77" s="484"/>
    </row>
    <row r="78" spans="1:15" hidden="1" outlineLevel="1">
      <c r="A78" s="116"/>
      <c r="B78" s="432" t="str">
        <f>IF($C78="","",IFERROR('Comps'!B22,"DELETE"))</f>
        <v/>
      </c>
      <c r="C78" s="13" t="str">
        <f>IF('Comps'!C22="","",'Comps'!C22)</f>
        <v/>
      </c>
      <c r="D78" s="576"/>
      <c r="E78" s="576"/>
      <c r="F78" s="576"/>
      <c r="G78" s="576"/>
      <c r="H78" s="576"/>
      <c r="I78" s="576"/>
      <c r="J78" s="576"/>
      <c r="K78" s="576"/>
      <c r="L78" s="576"/>
      <c r="M78" s="576"/>
      <c r="N78" s="576"/>
      <c r="O78" s="484"/>
    </row>
    <row r="79" spans="1:15" hidden="1" outlineLevel="1">
      <c r="A79" s="116"/>
      <c r="B79" s="432" t="str">
        <f>IF($C79="","",IFERROR('Comps'!B23,"DELETE"))</f>
        <v/>
      </c>
      <c r="C79" s="13" t="str">
        <f>IF('Comps'!C23="","",'Comps'!C23)</f>
        <v/>
      </c>
      <c r="D79" s="576"/>
      <c r="E79" s="576"/>
      <c r="F79" s="576"/>
      <c r="G79" s="576"/>
      <c r="H79" s="576"/>
      <c r="I79" s="576"/>
      <c r="J79" s="576"/>
      <c r="K79" s="576"/>
      <c r="L79" s="576"/>
      <c r="M79" s="576"/>
      <c r="N79" s="576"/>
      <c r="O79" s="484"/>
    </row>
    <row r="80" spans="1:15" hidden="1" outlineLevel="1">
      <c r="A80" s="116"/>
      <c r="B80" s="432" t="str">
        <f>IF($C80="","",IFERROR('Comps'!B24,"DELETE"))</f>
        <v/>
      </c>
      <c r="C80" s="13" t="str">
        <f>IF('Comps'!C24="","",'Comps'!C24)</f>
        <v/>
      </c>
      <c r="D80" s="576"/>
      <c r="E80" s="576"/>
      <c r="F80" s="576"/>
      <c r="G80" s="576"/>
      <c r="H80" s="576"/>
      <c r="I80" s="576"/>
      <c r="J80" s="576"/>
      <c r="K80" s="576"/>
      <c r="L80" s="576"/>
      <c r="M80" s="576"/>
      <c r="N80" s="576"/>
      <c r="O80" s="484"/>
    </row>
    <row r="81" spans="1:15" hidden="1" outlineLevel="1">
      <c r="A81" s="116"/>
      <c r="B81" s="432" t="str">
        <f>IF($C81="","",IFERROR('Comps'!B25,"DELETE"))</f>
        <v/>
      </c>
      <c r="C81" s="13" t="str">
        <f>IF('Comps'!C25="","",'Comps'!C25)</f>
        <v/>
      </c>
      <c r="D81" s="576"/>
      <c r="E81" s="576"/>
      <c r="F81" s="576"/>
      <c r="G81" s="576"/>
      <c r="H81" s="576"/>
      <c r="I81" s="576"/>
      <c r="J81" s="576"/>
      <c r="K81" s="576"/>
      <c r="L81" s="576"/>
      <c r="M81" s="576"/>
      <c r="N81" s="576"/>
      <c r="O81" s="484"/>
    </row>
    <row r="82" spans="1:15" hidden="1" outlineLevel="1">
      <c r="A82" s="116"/>
      <c r="B82" s="432" t="str">
        <f>IF($C82="","",IFERROR('Comps'!B26,"DELETE"))</f>
        <v/>
      </c>
      <c r="C82" s="13" t="str">
        <f>IF('Comps'!C26="","",'Comps'!C26)</f>
        <v/>
      </c>
      <c r="D82" s="576"/>
      <c r="E82" s="576"/>
      <c r="F82" s="576"/>
      <c r="G82" s="576"/>
      <c r="H82" s="576"/>
      <c r="I82" s="576"/>
      <c r="J82" s="576"/>
      <c r="K82" s="576"/>
      <c r="L82" s="576"/>
      <c r="M82" s="576"/>
      <c r="N82" s="576"/>
      <c r="O82" s="484"/>
    </row>
    <row r="83" spans="1:15" hidden="1" outlineLevel="1">
      <c r="A83" s="116"/>
      <c r="B83" s="432" t="str">
        <f>IF($C83="","",IFERROR('Comps'!B27,"DELETE"))</f>
        <v/>
      </c>
      <c r="C83" s="13" t="str">
        <f>IF('Comps'!C27="","",'Comps'!C27)</f>
        <v/>
      </c>
      <c r="D83" s="576"/>
      <c r="E83" s="576"/>
      <c r="F83" s="576"/>
      <c r="G83" s="576"/>
      <c r="H83" s="576"/>
      <c r="I83" s="576"/>
      <c r="J83" s="576"/>
      <c r="K83" s="576"/>
      <c r="L83" s="576"/>
      <c r="M83" s="576"/>
      <c r="N83" s="576"/>
      <c r="O83" s="485"/>
    </row>
    <row r="84" spans="1:15" ht="4.4000000000000004" hidden="1" customHeight="1" outlineLevel="1" thickBot="1">
      <c r="A84" s="116"/>
      <c r="B84" s="352"/>
      <c r="C84" s="353"/>
      <c r="D84" s="355"/>
      <c r="E84" s="355"/>
      <c r="F84" s="355"/>
      <c r="G84" s="355"/>
      <c r="H84" s="355"/>
      <c r="I84" s="355"/>
      <c r="J84" s="355"/>
      <c r="K84" s="355"/>
      <c r="L84" s="355"/>
      <c r="M84" s="355"/>
      <c r="N84" s="355"/>
      <c r="O84" s="356"/>
    </row>
    <row r="85" spans="1:15" hidden="1" outlineLevel="1">
      <c r="B85" s="665" t="s">
        <v>324</v>
      </c>
      <c r="D85" s="105"/>
      <c r="E85" s="105"/>
      <c r="F85" s="105"/>
      <c r="G85" s="105"/>
      <c r="H85" s="105"/>
      <c r="I85" s="105"/>
      <c r="J85" s="105"/>
      <c r="K85" s="105"/>
      <c r="L85" s="105"/>
      <c r="M85" s="105"/>
      <c r="N85" s="105"/>
      <c r="O85" s="104"/>
    </row>
    <row r="86" spans="1:15" ht="19" hidden="1" outlineLevel="1">
      <c r="B86" s="17"/>
      <c r="D86" s="105"/>
      <c r="E86" s="105"/>
      <c r="F86" s="105"/>
      <c r="G86" s="105"/>
      <c r="H86" s="105"/>
      <c r="I86" s="105"/>
      <c r="J86" s="105"/>
      <c r="K86" s="105"/>
      <c r="L86" s="105"/>
      <c r="M86" s="105"/>
      <c r="N86" s="105"/>
    </row>
    <row r="87" spans="1:15" ht="10.5" hidden="1" outlineLevel="1">
      <c r="B87" s="666" t="s">
        <v>136</v>
      </c>
      <c r="C87" s="666"/>
      <c r="D87" s="667"/>
      <c r="E87" s="667"/>
      <c r="F87" s="667"/>
      <c r="G87" s="667"/>
      <c r="H87" s="667"/>
      <c r="I87" s="667"/>
      <c r="J87" s="667"/>
      <c r="K87" s="667"/>
      <c r="L87" s="667"/>
      <c r="M87" s="667"/>
      <c r="N87" s="667"/>
      <c r="O87" s="666"/>
    </row>
    <row r="88" spans="1:15" ht="10.5" hidden="1" outlineLevel="1">
      <c r="B88" s="418" t="s">
        <v>28</v>
      </c>
      <c r="C88" s="419" t="s">
        <v>123</v>
      </c>
      <c r="D88" s="760" t="str">
        <f>D$8</f>
        <v>FY2015</v>
      </c>
      <c r="E88" s="760" t="str">
        <f t="shared" ref="E88:N88" si="4">E$8</f>
        <v>FY2016</v>
      </c>
      <c r="F88" s="760" t="str">
        <f t="shared" si="4"/>
        <v>FY2017</v>
      </c>
      <c r="G88" s="760" t="str">
        <f t="shared" si="4"/>
        <v>FY2018</v>
      </c>
      <c r="H88" s="760" t="str">
        <f t="shared" si="4"/>
        <v>FY2019</v>
      </c>
      <c r="I88" s="760" t="str">
        <f t="shared" si="4"/>
        <v>FY2020</v>
      </c>
      <c r="J88" s="760" t="str">
        <f t="shared" si="4"/>
        <v>FY2021</v>
      </c>
      <c r="K88" s="760" t="str">
        <f t="shared" si="4"/>
        <v>FY2022</v>
      </c>
      <c r="L88" s="760" t="str">
        <f t="shared" si="4"/>
        <v>FY2023</v>
      </c>
      <c r="M88" s="760" t="str">
        <f t="shared" si="4"/>
        <v>FY2024</v>
      </c>
      <c r="N88" s="760" t="str">
        <f t="shared" si="4"/>
        <v>FY2025</v>
      </c>
      <c r="O88" s="483" t="s">
        <v>190</v>
      </c>
    </row>
    <row r="89" spans="1:15" hidden="1" outlineLevel="1">
      <c r="A89" s="116"/>
      <c r="B89" s="620" t="str">
        <f>IF($C89="","",IFERROR('Comps'!B13,"DELETE"))</f>
        <v>Netflix, Inc.</v>
      </c>
      <c r="C89" s="621" t="str">
        <f>IF('Comps'!C13="","",'Comps'!C13)</f>
        <v>NasdaqGS:NFLX</v>
      </c>
      <c r="D89" s="622">
        <v>3.3424000000000002E-2</v>
      </c>
      <c r="E89" s="622">
        <v>3.5092999999999999E-2</v>
      </c>
      <c r="F89" s="622">
        <v>6.9321999999999995E-2</v>
      </c>
      <c r="G89" s="622">
        <v>9.4331999999999999E-2</v>
      </c>
      <c r="H89" s="622">
        <v>9.4398999999999997E-2</v>
      </c>
      <c r="I89" s="622">
        <v>0.10317</v>
      </c>
      <c r="J89" s="622">
        <v>0.16103400000000001</v>
      </c>
      <c r="K89" s="622">
        <v>0.12534100000000001</v>
      </c>
      <c r="L89" s="622">
        <v>0.14369399999999999</v>
      </c>
      <c r="M89" s="622">
        <v>0.216976</v>
      </c>
      <c r="N89" s="622">
        <v>0</v>
      </c>
      <c r="O89" s="575">
        <f>IF($C89="","",IFERROR(AVERAGE(I89:M89),"NA"))</f>
        <v>0.15004300000000001</v>
      </c>
    </row>
    <row r="90" spans="1:15" hidden="1" outlineLevel="1">
      <c r="A90" s="116"/>
      <c r="B90" s="620" t="str">
        <f>IF($C90="","",IFERROR('Comps'!B14,"DELETE"))</f>
        <v>Spotify Technology S.A.</v>
      </c>
      <c r="C90" s="621" t="str">
        <f>IF('Comps'!C14="","",'Comps'!C14)</f>
        <v>NYSE:SPOT</v>
      </c>
      <c r="D90" s="622">
        <v>0</v>
      </c>
      <c r="E90" s="622">
        <v>-0.97910900000000001</v>
      </c>
      <c r="F90" s="622">
        <v>-1.202531</v>
      </c>
      <c r="G90" s="622">
        <v>-4.7619000000000002E-2</v>
      </c>
      <c r="H90" s="622">
        <v>-7.8266000000000002E-2</v>
      </c>
      <c r="I90" s="622">
        <v>-0.19137000000000001</v>
      </c>
      <c r="J90" s="622">
        <v>-9.2420000000000002E-3</v>
      </c>
      <c r="K90" s="622">
        <v>-0.10635600000000001</v>
      </c>
      <c r="L90" s="622">
        <v>-0.126275</v>
      </c>
      <c r="M90" s="622">
        <v>0.191501</v>
      </c>
      <c r="N90" s="622">
        <v>0</v>
      </c>
      <c r="O90" s="575">
        <f t="shared" ref="O90:O103" si="5">IF($C90="","",IFERROR(AVERAGE(I90:M90),"NA"))</f>
        <v>-4.8348400000000007E-2</v>
      </c>
    </row>
    <row r="91" spans="1:15" hidden="1" outlineLevel="1">
      <c r="A91" s="116"/>
      <c r="B91" s="620" t="str">
        <f>IF($C91="","",IFERROR('Comps'!B15,"DELETE"))</f>
        <v>Roku, Inc.</v>
      </c>
      <c r="C91" s="621" t="str">
        <f>IF('Comps'!C15="","",'Comps'!C15)</f>
        <v>NasdaqGS:ROKU</v>
      </c>
      <c r="D91" s="622">
        <v>0</v>
      </c>
      <c r="E91" s="622">
        <v>-0.691496</v>
      </c>
      <c r="F91" s="622">
        <v>-0.64599099999999998</v>
      </c>
      <c r="G91" s="622">
        <v>-4.4627E-2</v>
      </c>
      <c r="H91" s="622">
        <v>-8.7995000000000004E-2</v>
      </c>
      <c r="I91" s="622">
        <v>-1.214E-2</v>
      </c>
      <c r="J91" s="622">
        <v>9.5905000000000004E-2</v>
      </c>
      <c r="K91" s="622">
        <v>-0.14968100000000001</v>
      </c>
      <c r="L91" s="622">
        <v>-0.223607</v>
      </c>
      <c r="M91" s="622">
        <v>-4.2664000000000001E-2</v>
      </c>
      <c r="N91" s="622">
        <v>0</v>
      </c>
      <c r="O91" s="575">
        <f t="shared" si="5"/>
        <v>-6.6437399999999994E-2</v>
      </c>
    </row>
    <row r="92" spans="1:15" hidden="1" outlineLevel="1">
      <c r="A92" s="116"/>
      <c r="B92" s="620" t="str">
        <f>IF($C92="","",IFERROR('Comps'!B16,"DELETE"))</f>
        <v>Iqiyi, Inc.</v>
      </c>
      <c r="C92" s="621" t="str">
        <f>IF('Comps'!C16="","",'Comps'!C16)</f>
        <v>NasdaqGS:IQ</v>
      </c>
      <c r="D92" s="622">
        <v>0</v>
      </c>
      <c r="E92" s="622">
        <v>-0.496147</v>
      </c>
      <c r="F92" s="622">
        <v>-0.48398400000000003</v>
      </c>
      <c r="G92" s="622">
        <v>-0.50235600000000002</v>
      </c>
      <c r="H92" s="622">
        <v>-0.376583</v>
      </c>
      <c r="I92" s="622">
        <v>-0.238067</v>
      </c>
      <c r="J92" s="622">
        <v>-0.22216900000000001</v>
      </c>
      <c r="K92" s="622">
        <v>-5.1440000000000001E-3</v>
      </c>
      <c r="L92" s="622">
        <v>6.8253999999999995E-2</v>
      </c>
      <c r="M92" s="622">
        <v>2.7751000000000001E-2</v>
      </c>
      <c r="N92" s="622">
        <v>0</v>
      </c>
      <c r="O92" s="575">
        <f t="shared" si="5"/>
        <v>-7.3874999999999996E-2</v>
      </c>
    </row>
    <row r="93" spans="1:15" hidden="1" outlineLevel="1">
      <c r="A93" s="116"/>
      <c r="B93" s="620" t="str">
        <f>IF($C93="","",IFERROR('Comps'!B17,"DELETE"))</f>
        <v>Bilibili Inc.</v>
      </c>
      <c r="C93" s="621" t="str">
        <f>IF('Comps'!C17="","",'Comps'!C17)</f>
        <v>NasdaqGS:BILI</v>
      </c>
      <c r="D93" s="622">
        <v>0</v>
      </c>
      <c r="E93" s="622">
        <v>-0.98871600000000004</v>
      </c>
      <c r="F93" s="622">
        <v>-0.31628400000000001</v>
      </c>
      <c r="G93" s="622">
        <v>-0.133018</v>
      </c>
      <c r="H93" s="622">
        <v>-0.14057700000000001</v>
      </c>
      <c r="I93" s="622">
        <v>-0.21886900000000001</v>
      </c>
      <c r="J93" s="622">
        <v>-0.23691899999999999</v>
      </c>
      <c r="K93" s="622">
        <v>-0.20905799999999999</v>
      </c>
      <c r="L93" s="622">
        <v>-0.18255299999999999</v>
      </c>
      <c r="M93" s="622">
        <v>-6.522E-2</v>
      </c>
      <c r="N93" s="622">
        <v>0</v>
      </c>
      <c r="O93" s="575">
        <f t="shared" si="5"/>
        <v>-0.18252379999999996</v>
      </c>
    </row>
    <row r="94" spans="1:15" hidden="1" outlineLevel="1">
      <c r="A94" s="116"/>
      <c r="B94" s="620" t="str">
        <f>IF($C94="","",IFERROR('Comps'!B18,"DELETE"))</f>
        <v>The Walt Disney Company</v>
      </c>
      <c r="C94" s="621" t="str">
        <f>IF('Comps'!C18="","",'Comps'!C18)</f>
        <v>NYSE:DIS</v>
      </c>
      <c r="D94" s="622">
        <v>8.2488000000000006E-2</v>
      </c>
      <c r="E94" s="622">
        <v>0.10605000000000001</v>
      </c>
      <c r="F94" s="622">
        <v>9.4072000000000003E-2</v>
      </c>
      <c r="G94" s="622">
        <v>0.13786599999999999</v>
      </c>
      <c r="H94" s="622">
        <v>7.2582999999999995E-2</v>
      </c>
      <c r="I94" s="622">
        <v>-2.8732000000000001E-2</v>
      </c>
      <c r="J94" s="622">
        <v>1.2454E-2</v>
      </c>
      <c r="K94" s="622">
        <v>1.9584000000000001E-2</v>
      </c>
      <c r="L94" s="622">
        <v>1.4515999999999999E-2</v>
      </c>
      <c r="M94" s="622">
        <v>2.2627000000000001E-2</v>
      </c>
      <c r="N94" s="622">
        <v>6.7292000000000005E-2</v>
      </c>
      <c r="O94" s="575">
        <f t="shared" si="5"/>
        <v>8.0897999999999994E-3</v>
      </c>
    </row>
    <row r="95" spans="1:15" hidden="1" outlineLevel="1">
      <c r="A95" s="116"/>
      <c r="B95" s="620" t="str">
        <f>IF($C95="","",IFERROR('Comps'!B19,"DELETE"))</f>
        <v>Warner Bros. Discovery, Inc.</v>
      </c>
      <c r="C95" s="621" t="str">
        <f>IF('Comps'!C19="","",'Comps'!C19)</f>
        <v>NasdaqGS:WBD</v>
      </c>
      <c r="D95" s="622">
        <v>7.6913999999999996E-2</v>
      </c>
      <c r="E95" s="622">
        <v>8.9236999999999997E-2</v>
      </c>
      <c r="F95" s="622">
        <v>-2.0337000000000001E-2</v>
      </c>
      <c r="G95" s="622">
        <v>2.5079000000000001E-2</v>
      </c>
      <c r="H95" s="622">
        <v>7.4024999999999994E-2</v>
      </c>
      <c r="I95" s="622">
        <v>4.2682999999999999E-2</v>
      </c>
      <c r="J95" s="622">
        <v>3.4795E-2</v>
      </c>
      <c r="K95" s="622">
        <v>-0.11312700000000001</v>
      </c>
      <c r="L95" s="622">
        <v>-3.2056000000000001E-2</v>
      </c>
      <c r="M95" s="622">
        <v>-0.131748</v>
      </c>
      <c r="N95" s="622">
        <v>0</v>
      </c>
      <c r="O95" s="575">
        <f t="shared" si="5"/>
        <v>-3.9890600000000005E-2</v>
      </c>
    </row>
    <row r="96" spans="1:15" hidden="1" outlineLevel="1">
      <c r="A96" s="116"/>
      <c r="B96" s="620" t="str">
        <f>IF($C96="","",IFERROR('Comps'!B20,"DELETE"))</f>
        <v>Paramount Skydance Corporation</v>
      </c>
      <c r="C96" s="621" t="str">
        <f>IF('Comps'!C20="","",'Comps'!C20)</f>
        <v>NasdaqGS:PSKY</v>
      </c>
      <c r="D96" s="622">
        <v>7.9236000000000001E-2</v>
      </c>
      <c r="E96" s="622">
        <v>7.1873999999999993E-2</v>
      </c>
      <c r="F96" s="622">
        <v>0.135295</v>
      </c>
      <c r="G96" s="622">
        <v>0.136016</v>
      </c>
      <c r="H96" s="622">
        <v>8.4634000000000001E-2</v>
      </c>
      <c r="I96" s="622">
        <v>5.0519000000000001E-2</v>
      </c>
      <c r="J96" s="622">
        <v>9.6694000000000002E-2</v>
      </c>
      <c r="K96" s="622">
        <v>9.894E-3</v>
      </c>
      <c r="L96" s="622">
        <v>-2.6263999999999999E-2</v>
      </c>
      <c r="M96" s="622">
        <v>-0.177149</v>
      </c>
      <c r="N96" s="622">
        <v>0</v>
      </c>
      <c r="O96" s="575">
        <f t="shared" si="5"/>
        <v>-9.2612000000000024E-3</v>
      </c>
    </row>
    <row r="97" spans="1:15" hidden="1" outlineLevel="1">
      <c r="A97" s="116"/>
      <c r="B97" s="432" t="str">
        <f>IF($C97="","",IFERROR('Comps'!B21,"DELETE"))</f>
        <v>Comcast Corporation</v>
      </c>
      <c r="C97" s="13" t="str">
        <f>IF('Comps'!C21="","",'Comps'!C21)</f>
        <v>NasdaqGS:CMCSA</v>
      </c>
      <c r="D97" s="577">
        <v>5.4524000000000003E-2</v>
      </c>
      <c r="E97" s="577">
        <v>5.3663000000000002E-2</v>
      </c>
      <c r="F97" s="577">
        <v>0.15629100000000001</v>
      </c>
      <c r="G97" s="577">
        <v>5.2215999999999999E-2</v>
      </c>
      <c r="H97" s="577">
        <v>4.8703999999999997E-2</v>
      </c>
      <c r="I97" s="577">
        <v>3.1681000000000001E-2</v>
      </c>
      <c r="J97" s="577">
        <v>4.6769999999999999E-2</v>
      </c>
      <c r="K97" s="577">
        <v>3.192E-3</v>
      </c>
      <c r="L97" s="577">
        <v>5.6508000000000003E-2</v>
      </c>
      <c r="M97" s="577">
        <v>6.0068999999999997E-2</v>
      </c>
      <c r="N97" s="577">
        <v>0</v>
      </c>
      <c r="O97" s="575">
        <f t="shared" si="5"/>
        <v>3.9643999999999999E-2</v>
      </c>
    </row>
    <row r="98" spans="1:15" hidden="1" outlineLevel="1">
      <c r="A98" s="116"/>
      <c r="B98" s="432" t="str">
        <f>IF($C98="","",IFERROR('Comps'!B22,"DELETE"))</f>
        <v/>
      </c>
      <c r="C98" s="13" t="str">
        <f>IF('Comps'!C22="","",'Comps'!C22)</f>
        <v/>
      </c>
      <c r="D98" s="577"/>
      <c r="E98" s="577"/>
      <c r="F98" s="577"/>
      <c r="G98" s="577"/>
      <c r="H98" s="577"/>
      <c r="I98" s="577"/>
      <c r="J98" s="577"/>
      <c r="K98" s="577"/>
      <c r="L98" s="577"/>
      <c r="M98" s="577"/>
      <c r="N98" s="577"/>
      <c r="O98" s="575" t="str">
        <f t="shared" si="5"/>
        <v/>
      </c>
    </row>
    <row r="99" spans="1:15" hidden="1" outlineLevel="1">
      <c r="A99" s="116"/>
      <c r="B99" s="432" t="str">
        <f>IF($C99="","",IFERROR('Comps'!B23,"DELETE"))</f>
        <v/>
      </c>
      <c r="C99" s="13" t="str">
        <f>IF('Comps'!C23="","",'Comps'!C23)</f>
        <v/>
      </c>
      <c r="D99" s="577"/>
      <c r="E99" s="577"/>
      <c r="F99" s="577"/>
      <c r="G99" s="577"/>
      <c r="H99" s="577"/>
      <c r="I99" s="577"/>
      <c r="J99" s="577"/>
      <c r="K99" s="577"/>
      <c r="L99" s="577"/>
      <c r="M99" s="577"/>
      <c r="N99" s="577"/>
      <c r="O99" s="575" t="str">
        <f t="shared" si="5"/>
        <v/>
      </c>
    </row>
    <row r="100" spans="1:15" hidden="1" outlineLevel="1">
      <c r="A100" s="116"/>
      <c r="B100" s="432" t="str">
        <f>IF($C100="","",IFERROR('Comps'!B24,"DELETE"))</f>
        <v/>
      </c>
      <c r="C100" s="13" t="str">
        <f>IF('Comps'!C24="","",'Comps'!C24)</f>
        <v/>
      </c>
      <c r="D100" s="577"/>
      <c r="E100" s="577"/>
      <c r="F100" s="577"/>
      <c r="G100" s="577"/>
      <c r="H100" s="577"/>
      <c r="I100" s="577"/>
      <c r="J100" s="577"/>
      <c r="K100" s="577"/>
      <c r="L100" s="577"/>
      <c r="M100" s="577"/>
      <c r="N100" s="577"/>
      <c r="O100" s="575" t="str">
        <f t="shared" si="5"/>
        <v/>
      </c>
    </row>
    <row r="101" spans="1:15" hidden="1" outlineLevel="1">
      <c r="A101" s="116"/>
      <c r="B101" s="432" t="str">
        <f>IF($C101="","",IFERROR('Comps'!B25,"DELETE"))</f>
        <v/>
      </c>
      <c r="C101" s="13" t="str">
        <f>IF('Comps'!C25="","",'Comps'!C25)</f>
        <v/>
      </c>
      <c r="D101" s="577"/>
      <c r="E101" s="577"/>
      <c r="F101" s="577"/>
      <c r="G101" s="577"/>
      <c r="H101" s="577"/>
      <c r="I101" s="577"/>
      <c r="J101" s="577"/>
      <c r="K101" s="577"/>
      <c r="L101" s="577"/>
      <c r="M101" s="577"/>
      <c r="N101" s="577"/>
      <c r="O101" s="575" t="str">
        <f t="shared" si="5"/>
        <v/>
      </c>
    </row>
    <row r="102" spans="1:15" hidden="1" outlineLevel="1">
      <c r="A102" s="116"/>
      <c r="B102" s="432" t="str">
        <f>IF($C102="","",IFERROR('Comps'!B26,"DELETE"))</f>
        <v/>
      </c>
      <c r="C102" s="13" t="str">
        <f>IF('Comps'!C26="","",'Comps'!C26)</f>
        <v/>
      </c>
      <c r="D102" s="577"/>
      <c r="E102" s="577"/>
      <c r="F102" s="577"/>
      <c r="G102" s="577"/>
      <c r="H102" s="577"/>
      <c r="I102" s="577"/>
      <c r="J102" s="577"/>
      <c r="K102" s="577"/>
      <c r="L102" s="577"/>
      <c r="M102" s="577"/>
      <c r="N102" s="577"/>
      <c r="O102" s="575" t="str">
        <f t="shared" si="5"/>
        <v/>
      </c>
    </row>
    <row r="103" spans="1:15" hidden="1" outlineLevel="1">
      <c r="A103" s="116"/>
      <c r="B103" s="432" t="str">
        <f>IF($C103="","",IFERROR('Comps'!B27,"DELETE"))</f>
        <v/>
      </c>
      <c r="C103" s="13" t="str">
        <f>IF('Comps'!C27="","",'Comps'!C27)</f>
        <v/>
      </c>
      <c r="D103" s="577"/>
      <c r="E103" s="577"/>
      <c r="F103" s="577"/>
      <c r="G103" s="577"/>
      <c r="H103" s="577"/>
      <c r="I103" s="577"/>
      <c r="J103" s="577"/>
      <c r="K103" s="577"/>
      <c r="L103" s="577"/>
      <c r="M103" s="577"/>
      <c r="N103" s="577"/>
      <c r="O103" s="575" t="str">
        <f t="shared" si="5"/>
        <v/>
      </c>
    </row>
    <row r="104" spans="1:15" ht="4.4000000000000004" hidden="1" customHeight="1" outlineLevel="1" thickBot="1">
      <c r="A104" s="116"/>
      <c r="B104" s="352"/>
      <c r="C104" s="353"/>
      <c r="D104" s="355"/>
      <c r="E104" s="355"/>
      <c r="F104" s="355"/>
      <c r="G104" s="355"/>
      <c r="H104" s="355"/>
      <c r="I104" s="355"/>
      <c r="J104" s="355"/>
      <c r="K104" s="355"/>
      <c r="L104" s="355"/>
      <c r="M104" s="355"/>
      <c r="N104" s="355"/>
      <c r="O104" s="356"/>
    </row>
    <row r="105" spans="1:15" hidden="1" outlineLevel="1">
      <c r="B105" s="665" t="s">
        <v>324</v>
      </c>
      <c r="D105" s="105"/>
      <c r="E105" s="105"/>
      <c r="F105" s="105"/>
      <c r="G105" s="105"/>
      <c r="H105" s="105"/>
      <c r="I105" s="105"/>
      <c r="J105" s="105"/>
      <c r="K105" s="105"/>
      <c r="L105" s="105"/>
      <c r="M105" s="105"/>
      <c r="N105" s="105"/>
      <c r="O105" s="104"/>
    </row>
    <row r="106" spans="1:15" hidden="1" outlineLevel="1">
      <c r="B106" s="357"/>
      <c r="D106" s="105"/>
      <c r="E106" s="105"/>
      <c r="F106" s="105"/>
      <c r="G106" s="105"/>
      <c r="H106" s="105"/>
      <c r="I106" s="105"/>
      <c r="J106" s="105"/>
      <c r="K106" s="105"/>
      <c r="L106" s="105"/>
      <c r="M106" s="105"/>
      <c r="N106" s="105"/>
      <c r="O106" s="104"/>
    </row>
    <row r="107" spans="1:15" collapsed="1">
      <c r="D107" s="105"/>
      <c r="E107" s="105"/>
      <c r="F107" s="105"/>
      <c r="G107" s="105"/>
      <c r="H107" s="105"/>
      <c r="I107" s="105"/>
      <c r="J107" s="105"/>
      <c r="K107" s="105"/>
      <c r="L107" s="105"/>
      <c r="M107" s="105"/>
      <c r="N107" s="105"/>
    </row>
    <row r="108" spans="1:15">
      <c r="A108" s="116">
        <v>1</v>
      </c>
      <c r="D108" s="578" t="str">
        <f t="shared" ref="D108:M108" si="6">"FY"&amp;RIGHT(D110,2)</f>
        <v>FY15</v>
      </c>
      <c r="E108" s="578" t="str">
        <f t="shared" si="6"/>
        <v>FY16</v>
      </c>
      <c r="F108" s="578" t="str">
        <f t="shared" si="6"/>
        <v>FY17</v>
      </c>
      <c r="G108" s="578" t="str">
        <f t="shared" si="6"/>
        <v>FY18</v>
      </c>
      <c r="H108" s="578" t="str">
        <f t="shared" si="6"/>
        <v>FY19</v>
      </c>
      <c r="I108" s="578" t="str">
        <f t="shared" si="6"/>
        <v>FY20</v>
      </c>
      <c r="J108" s="578" t="str">
        <f t="shared" si="6"/>
        <v>FY21</v>
      </c>
      <c r="K108" s="578" t="str">
        <f t="shared" si="6"/>
        <v>FY22</v>
      </c>
      <c r="L108" s="578" t="str">
        <f t="shared" si="6"/>
        <v>FY23</v>
      </c>
      <c r="M108" s="578" t="str">
        <f t="shared" si="6"/>
        <v>FY24</v>
      </c>
      <c r="N108" s="578" t="str">
        <f>"FY"&amp;RIGHT(N110,2)</f>
        <v>FY25</v>
      </c>
    </row>
    <row r="109" spans="1:15" ht="10.5">
      <c r="A109" s="116">
        <v>2</v>
      </c>
      <c r="B109" s="666" t="s">
        <v>83</v>
      </c>
      <c r="C109" s="666"/>
      <c r="D109" s="667"/>
      <c r="E109" s="667"/>
      <c r="F109" s="667"/>
      <c r="G109" s="667"/>
      <c r="H109" s="667"/>
      <c r="I109" s="667"/>
      <c r="J109" s="667"/>
      <c r="K109" s="667"/>
      <c r="L109" s="667"/>
      <c r="M109" s="667"/>
      <c r="N109" s="667"/>
      <c r="O109" s="666"/>
    </row>
    <row r="110" spans="1:15" ht="10.5">
      <c r="A110" s="116">
        <v>3</v>
      </c>
      <c r="B110" s="418" t="s">
        <v>28</v>
      </c>
      <c r="C110" s="419" t="s">
        <v>123</v>
      </c>
      <c r="D110" s="760" t="str">
        <f>D$8</f>
        <v>FY2015</v>
      </c>
      <c r="E110" s="760" t="str">
        <f t="shared" ref="E110:N110" si="7">E$8</f>
        <v>FY2016</v>
      </c>
      <c r="F110" s="760" t="str">
        <f t="shared" si="7"/>
        <v>FY2017</v>
      </c>
      <c r="G110" s="760" t="str">
        <f t="shared" si="7"/>
        <v>FY2018</v>
      </c>
      <c r="H110" s="760" t="str">
        <f t="shared" si="7"/>
        <v>FY2019</v>
      </c>
      <c r="I110" s="760" t="str">
        <f t="shared" si="7"/>
        <v>FY2020</v>
      </c>
      <c r="J110" s="760" t="str">
        <f t="shared" si="7"/>
        <v>FY2021</v>
      </c>
      <c r="K110" s="760" t="str">
        <f t="shared" si="7"/>
        <v>FY2022</v>
      </c>
      <c r="L110" s="760" t="str">
        <f t="shared" si="7"/>
        <v>FY2023</v>
      </c>
      <c r="M110" s="760" t="str">
        <f t="shared" si="7"/>
        <v>FY2024</v>
      </c>
      <c r="N110" s="760" t="str">
        <f t="shared" si="7"/>
        <v>FY2025</v>
      </c>
      <c r="O110" s="483" t="s">
        <v>190</v>
      </c>
    </row>
    <row r="111" spans="1:15">
      <c r="A111" s="116">
        <v>4</v>
      </c>
      <c r="B111" s="432" t="str">
        <f>IF($C111="","",IFERROR('Comps'!B13,"DELETE"))</f>
        <v>Netflix, Inc.</v>
      </c>
      <c r="C111" s="13" t="str">
        <f>IF('Comps'!C13="","",'Comps'!C13)</f>
        <v>NasdaqGS:NFLX</v>
      </c>
      <c r="D111" s="577">
        <f>IFERROR(D69/D9,0)</f>
        <v>4.5110333178897413E-2</v>
      </c>
      <c r="E111" s="577">
        <f t="shared" ref="E111:F111" si="8">IFERROR(E69/E9,0)</f>
        <v>4.3008406271370835E-2</v>
      </c>
      <c r="F111" s="577">
        <f t="shared" si="8"/>
        <v>7.1726638633822615E-2</v>
      </c>
      <c r="G111" s="577">
        <f t="shared" ref="G111:N111" si="9">IFERROR(G69/G9,0)</f>
        <v>0.10163298361102879</v>
      </c>
      <c r="H111" s="577">
        <f t="shared" si="9"/>
        <v>0.12920203645017397</v>
      </c>
      <c r="I111" s="577">
        <f t="shared" si="9"/>
        <v>0.18344049957321265</v>
      </c>
      <c r="J111" s="577">
        <f t="shared" si="9"/>
        <v>0.20858446828665406</v>
      </c>
      <c r="K111" s="577">
        <f t="shared" si="9"/>
        <v>0.17816647187855345</v>
      </c>
      <c r="L111" s="577">
        <f t="shared" si="9"/>
        <v>0.20620768485358948</v>
      </c>
      <c r="M111" s="577">
        <f t="shared" si="9"/>
        <v>0.26711169154117875</v>
      </c>
      <c r="N111" s="577">
        <f t="shared" si="9"/>
        <v>0</v>
      </c>
      <c r="O111" s="575">
        <f>IF($C111="","",IFERROR(AVERAGE(K111:M111),"NA"))</f>
        <v>0.21716194942444056</v>
      </c>
    </row>
    <row r="112" spans="1:15">
      <c r="A112" s="116">
        <v>5</v>
      </c>
      <c r="B112" s="432" t="str">
        <f>IF($C112="","",IFERROR('Comps'!B14,"DELETE"))</f>
        <v>Spotify Technology S.A.</v>
      </c>
      <c r="C112" s="13" t="str">
        <f>IF('Comps'!C14="","",'Comps'!C14)</f>
        <v>NYSE:SPOT</v>
      </c>
      <c r="D112" s="577">
        <f t="shared" ref="D112:N112" si="10">IFERROR(D70/D10,0)</f>
        <v>-0.12113402156023953</v>
      </c>
      <c r="E112" s="577">
        <f t="shared" si="10"/>
        <v>-0.11822493334290816</v>
      </c>
      <c r="F112" s="577">
        <f t="shared" si="10"/>
        <v>-9.2420537945103617E-2</v>
      </c>
      <c r="G112" s="577">
        <f t="shared" si="10"/>
        <v>-8.176458912812672E-3</v>
      </c>
      <c r="H112" s="577">
        <f t="shared" si="10"/>
        <v>-8.7226490694564413E-3</v>
      </c>
      <c r="I112" s="577">
        <f t="shared" si="10"/>
        <v>-3.7182741542126585E-2</v>
      </c>
      <c r="J112" s="577">
        <f t="shared" si="10"/>
        <v>9.7227969916353039E-3</v>
      </c>
      <c r="K112" s="577">
        <f t="shared" si="10"/>
        <v>-5.6195105215978224E-2</v>
      </c>
      <c r="L112" s="577">
        <f t="shared" si="10"/>
        <v>-6.1900807413505319E-3</v>
      </c>
      <c r="M112" s="577">
        <f t="shared" si="10"/>
        <v>8.9836023872238532E-2</v>
      </c>
      <c r="N112" s="577">
        <f t="shared" si="10"/>
        <v>0</v>
      </c>
      <c r="O112" s="575">
        <f t="shared" ref="O112:O125" si="11">IF($C112="","",IFERROR(AVERAGE(K112:M112),"NA"))</f>
        <v>9.1502793049699268E-3</v>
      </c>
    </row>
    <row r="113" spans="1:15">
      <c r="A113" s="116">
        <v>6</v>
      </c>
      <c r="B113" s="432" t="str">
        <f>IF($C113="","",IFERROR('Comps'!B15,"DELETE"))</f>
        <v>Roku, Inc.</v>
      </c>
      <c r="C113" s="13" t="str">
        <f>IF('Comps'!C15="","",'Comps'!C15)</f>
        <v>NasdaqGS:ROKU</v>
      </c>
      <c r="D113" s="577">
        <f t="shared" ref="D113:N113" si="12">IFERROR(D71/D11,0)</f>
        <v>-0.11740246422620107</v>
      </c>
      <c r="E113" s="577">
        <f t="shared" si="12"/>
        <v>-0.10876987023672453</v>
      </c>
      <c r="F113" s="577">
        <f t="shared" si="12"/>
        <v>-3.8255490353243111E-2</v>
      </c>
      <c r="G113" s="577">
        <f t="shared" si="12"/>
        <v>-1.7906926004638345E-2</v>
      </c>
      <c r="H113" s="577">
        <f t="shared" si="12"/>
        <v>-5.762936467653626E-2</v>
      </c>
      <c r="I113" s="577">
        <f t="shared" si="12"/>
        <v>-1.1388403430522474E-2</v>
      </c>
      <c r="J113" s="577">
        <f t="shared" si="12"/>
        <v>8.503991920665098E-2</v>
      </c>
      <c r="K113" s="577">
        <f t="shared" si="12"/>
        <v>-0.15760199633204053</v>
      </c>
      <c r="L113" s="577">
        <f t="shared" si="12"/>
        <v>-0.12520249703052183</v>
      </c>
      <c r="M113" s="577">
        <f t="shared" si="12"/>
        <v>-4.5507571546875222E-2</v>
      </c>
      <c r="N113" s="577">
        <f t="shared" si="12"/>
        <v>0</v>
      </c>
      <c r="O113" s="575">
        <f t="shared" si="11"/>
        <v>-0.10943735496981254</v>
      </c>
    </row>
    <row r="114" spans="1:15">
      <c r="A114" s="116">
        <v>7</v>
      </c>
      <c r="B114" s="432" t="str">
        <f>IF($C114="","",IFERROR('Comps'!B16,"DELETE"))</f>
        <v>Iqiyi, Inc.</v>
      </c>
      <c r="C114" s="13" t="str">
        <f>IF('Comps'!C16="","",'Comps'!C16)</f>
        <v>NasdaqGS:IQ</v>
      </c>
      <c r="D114" s="577">
        <f t="shared" ref="D114:N114" si="13">IFERROR(D72/D12,0)</f>
        <v>-0.45643746568785948</v>
      </c>
      <c r="E114" s="577">
        <f t="shared" si="13"/>
        <v>-0.22934784044601444</v>
      </c>
      <c r="F114" s="577">
        <f t="shared" si="13"/>
        <v>-0.20501221249074933</v>
      </c>
      <c r="G114" s="577">
        <f t="shared" si="13"/>
        <v>-0.33239415049609855</v>
      </c>
      <c r="H114" s="577">
        <f t="shared" si="13"/>
        <v>-0.31588773777515911</v>
      </c>
      <c r="I114" s="577">
        <f t="shared" si="13"/>
        <v>-0.17570330931673331</v>
      </c>
      <c r="J114" s="577">
        <f t="shared" si="13"/>
        <v>-0.13547939204614881</v>
      </c>
      <c r="K114" s="577">
        <f t="shared" si="13"/>
        <v>4.7588160954063319E-2</v>
      </c>
      <c r="L114" s="577">
        <f t="shared" si="13"/>
        <v>0.10173625144634708</v>
      </c>
      <c r="M114" s="577">
        <f t="shared" si="13"/>
        <v>6.5234029381414316E-2</v>
      </c>
      <c r="N114" s="577">
        <f t="shared" si="13"/>
        <v>0</v>
      </c>
      <c r="O114" s="575">
        <f t="shared" si="11"/>
        <v>7.1519480593941573E-2</v>
      </c>
    </row>
    <row r="115" spans="1:15">
      <c r="A115" s="116">
        <v>8</v>
      </c>
      <c r="B115" s="432" t="str">
        <f>IF($C115="","",IFERROR('Comps'!B17,"DELETE"))</f>
        <v>Bilibili Inc.</v>
      </c>
      <c r="C115" s="13" t="str">
        <f>IF('Comps'!C17="","",'Comps'!C17)</f>
        <v>NasdaqGS:BILI</v>
      </c>
      <c r="D115" s="577">
        <f t="shared" ref="D115:N115" si="14">IFERROR(D73/D13,0)</f>
        <v>-2.8159870066726107</v>
      </c>
      <c r="E115" s="577">
        <f t="shared" si="14"/>
        <v>-1.7097264647400661</v>
      </c>
      <c r="F115" s="577">
        <f t="shared" si="14"/>
        <v>-9.0855442204575088E-2</v>
      </c>
      <c r="G115" s="577">
        <f t="shared" si="14"/>
        <v>-0.17655247766996351</v>
      </c>
      <c r="H115" s="577">
        <f t="shared" si="14"/>
        <v>-0.22059489470968324</v>
      </c>
      <c r="I115" s="577">
        <f t="shared" si="14"/>
        <v>-0.26176925468854695</v>
      </c>
      <c r="J115" s="577">
        <f t="shared" si="14"/>
        <v>-0.33167451540504561</v>
      </c>
      <c r="K115" s="577">
        <f t="shared" si="14"/>
        <v>-0.38165579568330665</v>
      </c>
      <c r="L115" s="577">
        <f t="shared" si="14"/>
        <v>-0.22479536054686636</v>
      </c>
      <c r="M115" s="577">
        <f t="shared" si="14"/>
        <v>-5.0089176031682676E-2</v>
      </c>
      <c r="N115" s="577">
        <f t="shared" si="14"/>
        <v>0</v>
      </c>
      <c r="O115" s="575">
        <f t="shared" si="11"/>
        <v>-0.21884677742061856</v>
      </c>
    </row>
    <row r="116" spans="1:15">
      <c r="A116" s="116">
        <v>9</v>
      </c>
      <c r="B116" s="432" t="str">
        <f>IF($C116="","",IFERROR('Comps'!B18,"DELETE"))</f>
        <v>The Walt Disney Company</v>
      </c>
      <c r="C116" s="13" t="str">
        <f>IF('Comps'!C18="","",'Comps'!C18)</f>
        <v>NYSE:DIS</v>
      </c>
      <c r="D116" s="577">
        <f t="shared" ref="D116:N116" si="15">IFERROR(D74/D14,0)</f>
        <v>0.25205375011912706</v>
      </c>
      <c r="E116" s="577">
        <f t="shared" si="15"/>
        <v>0.2604076790336497</v>
      </c>
      <c r="F116" s="577">
        <f t="shared" si="15"/>
        <v>0.25160962692928523</v>
      </c>
      <c r="G116" s="577">
        <f t="shared" si="15"/>
        <v>0.24963825419793384</v>
      </c>
      <c r="H116" s="577">
        <f t="shared" si="15"/>
        <v>0.17282744551553722</v>
      </c>
      <c r="I116" s="577">
        <f t="shared" si="15"/>
        <v>5.7824065577781858E-2</v>
      </c>
      <c r="J116" s="577">
        <f t="shared" si="15"/>
        <v>5.1796256192708182E-2</v>
      </c>
      <c r="K116" s="577">
        <f t="shared" si="15"/>
        <v>8.2589879354947895E-2</v>
      </c>
      <c r="L116" s="577">
        <f t="shared" si="15"/>
        <v>0.10497424014038562</v>
      </c>
      <c r="M116" s="577">
        <f t="shared" si="15"/>
        <v>0.13482777114961525</v>
      </c>
      <c r="N116" s="577">
        <f t="shared" si="15"/>
        <v>0.14925072809107756</v>
      </c>
      <c r="O116" s="575">
        <f t="shared" si="11"/>
        <v>0.10746396354831626</v>
      </c>
    </row>
    <row r="117" spans="1:15">
      <c r="A117" s="116">
        <v>10</v>
      </c>
      <c r="B117" s="432" t="str">
        <f>IF($C117="","",IFERROR('Comps'!B19,"DELETE"))</f>
        <v>Warner Bros. Discovery, Inc.</v>
      </c>
      <c r="C117" s="13" t="str">
        <f>IF('Comps'!C19="","",'Comps'!C19)</f>
        <v>NasdaqGS:WBD</v>
      </c>
      <c r="D117" s="577">
        <f t="shared" ref="D117:N117" si="16">IFERROR(D75/D15,0)</f>
        <v>0.33030966531122929</v>
      </c>
      <c r="E117" s="577">
        <f t="shared" si="16"/>
        <v>0.32661228259196551</v>
      </c>
      <c r="F117" s="577">
        <f t="shared" si="16"/>
        <v>0.32445802415248071</v>
      </c>
      <c r="G117" s="577">
        <f t="shared" si="16"/>
        <v>0.25916800909693927</v>
      </c>
      <c r="H117" s="577">
        <f t="shared" si="16"/>
        <v>0.29459798994974873</v>
      </c>
      <c r="I117" s="577">
        <f t="shared" si="16"/>
        <v>0.26089401180770311</v>
      </c>
      <c r="J117" s="577">
        <f t="shared" si="16"/>
        <v>0.17004347469444672</v>
      </c>
      <c r="K117" s="577">
        <f t="shared" si="16"/>
        <v>-6.6534583197799924E-2</v>
      </c>
      <c r="L117" s="577">
        <f t="shared" si="16"/>
        <v>-1.3939643280656324E-2</v>
      </c>
      <c r="M117" s="577">
        <f t="shared" si="16"/>
        <v>1.6123699804175887E-2</v>
      </c>
      <c r="N117" s="577">
        <f t="shared" si="16"/>
        <v>0</v>
      </c>
      <c r="O117" s="575">
        <f t="shared" si="11"/>
        <v>-2.1450175558093452E-2</v>
      </c>
    </row>
    <row r="118" spans="1:15">
      <c r="A118" s="116">
        <v>11</v>
      </c>
      <c r="B118" s="432" t="str">
        <f>IF($C118="","",IFERROR('Comps'!B20,"DELETE"))</f>
        <v>Paramount Skydance Corporation</v>
      </c>
      <c r="C118" s="13" t="str">
        <f>IF('Comps'!C20="","",'Comps'!C20)</f>
        <v>NasdaqGS:PSKY</v>
      </c>
      <c r="D118" s="577">
        <f t="shared" ref="D118:N118" si="17">IFERROR(D76/D16,0)</f>
        <v>0.20235182700655038</v>
      </c>
      <c r="E118" s="577">
        <f t="shared" si="17"/>
        <v>0.21661856296521342</v>
      </c>
      <c r="F118" s="577">
        <f t="shared" si="17"/>
        <v>0.20188430374976446</v>
      </c>
      <c r="G118" s="577">
        <f t="shared" si="17"/>
        <v>0.20760643330179754</v>
      </c>
      <c r="H118" s="577">
        <f t="shared" si="17"/>
        <v>0.18060597081265278</v>
      </c>
      <c r="I118" s="577">
        <f t="shared" si="17"/>
        <v>0.18449673719596599</v>
      </c>
      <c r="J118" s="577">
        <f t="shared" si="17"/>
        <v>0.13996361855453718</v>
      </c>
      <c r="K118" s="577">
        <f t="shared" si="17"/>
        <v>9.3951051270146579E-2</v>
      </c>
      <c r="L118" s="577">
        <f t="shared" si="17"/>
        <v>6.2559017941454201E-2</v>
      </c>
      <c r="M118" s="577">
        <f t="shared" si="17"/>
        <v>8.6434121795091232E-2</v>
      </c>
      <c r="N118" s="577">
        <f t="shared" si="17"/>
        <v>0</v>
      </c>
      <c r="O118" s="575">
        <f t="shared" si="11"/>
        <v>8.0981397002230671E-2</v>
      </c>
    </row>
    <row r="119" spans="1:15">
      <c r="A119" s="116">
        <v>12</v>
      </c>
      <c r="B119" s="432" t="str">
        <f>IF($C119="","",IFERROR('Comps'!B21,"DELETE"))</f>
        <v>Comcast Corporation</v>
      </c>
      <c r="C119" s="13" t="str">
        <f>IF('Comps'!C21="","",'Comps'!C21)</f>
        <v>NasdaqGS:CMCSA</v>
      </c>
      <c r="D119" s="577">
        <f t="shared" ref="D119:N119" si="18">IFERROR(D77/D17,0)</f>
        <v>0.21470943497517112</v>
      </c>
      <c r="E119" s="577">
        <f t="shared" si="18"/>
        <v>0.20922512881490291</v>
      </c>
      <c r="F119" s="577">
        <f t="shared" si="18"/>
        <v>0.20670594738265768</v>
      </c>
      <c r="G119" s="577">
        <f t="shared" si="18"/>
        <v>0.20260933052578117</v>
      </c>
      <c r="H119" s="577">
        <f t="shared" si="18"/>
        <v>0.19391052119476418</v>
      </c>
      <c r="I119" s="577">
        <f t="shared" si="18"/>
        <v>0.16891004596191728</v>
      </c>
      <c r="J119" s="577">
        <f t="shared" si="18"/>
        <v>0.17886325557417193</v>
      </c>
      <c r="K119" s="577">
        <f t="shared" si="18"/>
        <v>0.18631770528795077</v>
      </c>
      <c r="L119" s="577">
        <f t="shared" si="18"/>
        <v>0.19176290593228704</v>
      </c>
      <c r="M119" s="577">
        <f t="shared" si="18"/>
        <v>0.18829557669460362</v>
      </c>
      <c r="N119" s="577">
        <f t="shared" si="18"/>
        <v>0</v>
      </c>
      <c r="O119" s="575">
        <f t="shared" si="11"/>
        <v>0.18879206263828049</v>
      </c>
    </row>
    <row r="120" spans="1:15">
      <c r="A120" s="116">
        <v>13</v>
      </c>
      <c r="B120" s="432" t="str">
        <f>IF($C120="","",IFERROR('Comps'!B22,"DELETE"))</f>
        <v/>
      </c>
      <c r="C120" s="13" t="str">
        <f>IF('Comps'!C22="","",'Comps'!C22)</f>
        <v/>
      </c>
      <c r="D120" s="577">
        <f t="shared" ref="D120:N120" si="19">IFERROR(D78/D18,0)</f>
        <v>0</v>
      </c>
      <c r="E120" s="577">
        <f t="shared" si="19"/>
        <v>0</v>
      </c>
      <c r="F120" s="577">
        <f t="shared" si="19"/>
        <v>0</v>
      </c>
      <c r="G120" s="577">
        <f t="shared" si="19"/>
        <v>0</v>
      </c>
      <c r="H120" s="577">
        <f t="shared" si="19"/>
        <v>0</v>
      </c>
      <c r="I120" s="577">
        <f t="shared" si="19"/>
        <v>0</v>
      </c>
      <c r="J120" s="577">
        <f t="shared" si="19"/>
        <v>0</v>
      </c>
      <c r="K120" s="577">
        <f t="shared" si="19"/>
        <v>0</v>
      </c>
      <c r="L120" s="577">
        <f t="shared" si="19"/>
        <v>0</v>
      </c>
      <c r="M120" s="577">
        <f t="shared" si="19"/>
        <v>0</v>
      </c>
      <c r="N120" s="577">
        <f t="shared" si="19"/>
        <v>0</v>
      </c>
      <c r="O120" s="575" t="str">
        <f t="shared" si="11"/>
        <v/>
      </c>
    </row>
    <row r="121" spans="1:15">
      <c r="A121" s="116">
        <v>14</v>
      </c>
      <c r="B121" s="432" t="str">
        <f>IF($C121="","",IFERROR('Comps'!B23,"DELETE"))</f>
        <v/>
      </c>
      <c r="C121" s="13" t="str">
        <f>IF('Comps'!C23="","",'Comps'!C23)</f>
        <v/>
      </c>
      <c r="D121" s="577">
        <f t="shared" ref="D121:N121" si="20">IFERROR(D79/D19,0)</f>
        <v>0</v>
      </c>
      <c r="E121" s="577">
        <f t="shared" si="20"/>
        <v>0</v>
      </c>
      <c r="F121" s="577">
        <f t="shared" si="20"/>
        <v>0</v>
      </c>
      <c r="G121" s="577">
        <f t="shared" si="20"/>
        <v>0</v>
      </c>
      <c r="H121" s="577">
        <f t="shared" si="20"/>
        <v>0</v>
      </c>
      <c r="I121" s="577">
        <f t="shared" si="20"/>
        <v>0</v>
      </c>
      <c r="J121" s="577">
        <f t="shared" si="20"/>
        <v>0</v>
      </c>
      <c r="K121" s="577">
        <f t="shared" si="20"/>
        <v>0</v>
      </c>
      <c r="L121" s="577">
        <f t="shared" si="20"/>
        <v>0</v>
      </c>
      <c r="M121" s="577">
        <f t="shared" si="20"/>
        <v>0</v>
      </c>
      <c r="N121" s="577">
        <f t="shared" si="20"/>
        <v>0</v>
      </c>
      <c r="O121" s="575" t="str">
        <f t="shared" si="11"/>
        <v/>
      </c>
    </row>
    <row r="122" spans="1:15">
      <c r="A122" s="116">
        <v>15</v>
      </c>
      <c r="B122" s="432" t="str">
        <f>IF($C122="","",IFERROR('Comps'!B24,"DELETE"))</f>
        <v/>
      </c>
      <c r="C122" s="13" t="str">
        <f>IF('Comps'!C24="","",'Comps'!C24)</f>
        <v/>
      </c>
      <c r="D122" s="577">
        <f t="shared" ref="D122:N122" si="21">IFERROR(D80/D20,0)</f>
        <v>0</v>
      </c>
      <c r="E122" s="577">
        <f t="shared" si="21"/>
        <v>0</v>
      </c>
      <c r="F122" s="577">
        <f t="shared" si="21"/>
        <v>0</v>
      </c>
      <c r="G122" s="577">
        <f t="shared" si="21"/>
        <v>0</v>
      </c>
      <c r="H122" s="577">
        <f t="shared" si="21"/>
        <v>0</v>
      </c>
      <c r="I122" s="577">
        <f t="shared" si="21"/>
        <v>0</v>
      </c>
      <c r="J122" s="577">
        <f t="shared" si="21"/>
        <v>0</v>
      </c>
      <c r="K122" s="577">
        <f t="shared" si="21"/>
        <v>0</v>
      </c>
      <c r="L122" s="577">
        <f t="shared" si="21"/>
        <v>0</v>
      </c>
      <c r="M122" s="577">
        <f t="shared" si="21"/>
        <v>0</v>
      </c>
      <c r="N122" s="577">
        <f t="shared" si="21"/>
        <v>0</v>
      </c>
      <c r="O122" s="575" t="str">
        <f t="shared" si="11"/>
        <v/>
      </c>
    </row>
    <row r="123" spans="1:15">
      <c r="A123" s="116">
        <v>16</v>
      </c>
      <c r="B123" s="432" t="str">
        <f>IF($C123="","",IFERROR('Comps'!B25,"DELETE"))</f>
        <v/>
      </c>
      <c r="C123" s="13" t="str">
        <f>IF('Comps'!C25="","",'Comps'!C25)</f>
        <v/>
      </c>
      <c r="D123" s="577">
        <f t="shared" ref="D123:N123" si="22">IFERROR(D81/D21,0)</f>
        <v>0</v>
      </c>
      <c r="E123" s="577">
        <f t="shared" si="22"/>
        <v>0</v>
      </c>
      <c r="F123" s="577">
        <f t="shared" si="22"/>
        <v>0</v>
      </c>
      <c r="G123" s="577">
        <f t="shared" si="22"/>
        <v>0</v>
      </c>
      <c r="H123" s="577">
        <f t="shared" si="22"/>
        <v>0</v>
      </c>
      <c r="I123" s="577">
        <f t="shared" si="22"/>
        <v>0</v>
      </c>
      <c r="J123" s="577">
        <f t="shared" si="22"/>
        <v>0</v>
      </c>
      <c r="K123" s="577">
        <f t="shared" si="22"/>
        <v>0</v>
      </c>
      <c r="L123" s="577">
        <f t="shared" si="22"/>
        <v>0</v>
      </c>
      <c r="M123" s="577">
        <f t="shared" si="22"/>
        <v>0</v>
      </c>
      <c r="N123" s="577">
        <f t="shared" si="22"/>
        <v>0</v>
      </c>
      <c r="O123" s="575" t="str">
        <f t="shared" si="11"/>
        <v/>
      </c>
    </row>
    <row r="124" spans="1:15">
      <c r="A124" s="116">
        <v>17</v>
      </c>
      <c r="B124" s="432" t="str">
        <f>IF($C124="","",IFERROR('Comps'!B26,"DELETE"))</f>
        <v/>
      </c>
      <c r="C124" s="13" t="str">
        <f>IF('Comps'!C26="","",'Comps'!C26)</f>
        <v/>
      </c>
      <c r="D124" s="577">
        <f t="shared" ref="D124:N124" si="23">IFERROR(D82/D22,0)</f>
        <v>0</v>
      </c>
      <c r="E124" s="577">
        <f t="shared" si="23"/>
        <v>0</v>
      </c>
      <c r="F124" s="577">
        <f t="shared" si="23"/>
        <v>0</v>
      </c>
      <c r="G124" s="577">
        <f t="shared" si="23"/>
        <v>0</v>
      </c>
      <c r="H124" s="577">
        <f t="shared" si="23"/>
        <v>0</v>
      </c>
      <c r="I124" s="577">
        <f t="shared" si="23"/>
        <v>0</v>
      </c>
      <c r="J124" s="577">
        <f t="shared" si="23"/>
        <v>0</v>
      </c>
      <c r="K124" s="577">
        <f t="shared" si="23"/>
        <v>0</v>
      </c>
      <c r="L124" s="577">
        <f t="shared" si="23"/>
        <v>0</v>
      </c>
      <c r="M124" s="577">
        <f t="shared" si="23"/>
        <v>0</v>
      </c>
      <c r="N124" s="577">
        <f t="shared" si="23"/>
        <v>0</v>
      </c>
      <c r="O124" s="575" t="str">
        <f t="shared" si="11"/>
        <v/>
      </c>
    </row>
    <row r="125" spans="1:15">
      <c r="A125" s="116">
        <v>18</v>
      </c>
      <c r="B125" s="432" t="str">
        <f>IF($C125="","",IFERROR('Comps'!B27,"DELETE"))</f>
        <v/>
      </c>
      <c r="C125" s="13" t="str">
        <f>IF('Comps'!C27="","",'Comps'!C27)</f>
        <v/>
      </c>
      <c r="D125" s="577">
        <f t="shared" ref="D125:N125" si="24">IFERROR(D83/D23,0)</f>
        <v>0</v>
      </c>
      <c r="E125" s="577">
        <f t="shared" si="24"/>
        <v>0</v>
      </c>
      <c r="F125" s="577">
        <f t="shared" si="24"/>
        <v>0</v>
      </c>
      <c r="G125" s="577">
        <f t="shared" si="24"/>
        <v>0</v>
      </c>
      <c r="H125" s="577">
        <f t="shared" si="24"/>
        <v>0</v>
      </c>
      <c r="I125" s="577">
        <f t="shared" si="24"/>
        <v>0</v>
      </c>
      <c r="J125" s="577">
        <f t="shared" si="24"/>
        <v>0</v>
      </c>
      <c r="K125" s="577">
        <f t="shared" si="24"/>
        <v>0</v>
      </c>
      <c r="L125" s="577">
        <f t="shared" si="24"/>
        <v>0</v>
      </c>
      <c r="M125" s="577">
        <f t="shared" si="24"/>
        <v>0</v>
      </c>
      <c r="N125" s="577">
        <f t="shared" si="24"/>
        <v>0</v>
      </c>
      <c r="O125" s="575" t="str">
        <f t="shared" si="11"/>
        <v/>
      </c>
    </row>
    <row r="126" spans="1:15" ht="4.4000000000000004" customHeight="1" thickBot="1">
      <c r="A126" s="116">
        <v>19</v>
      </c>
      <c r="B126" s="352"/>
      <c r="C126" s="353"/>
      <c r="D126" s="355"/>
      <c r="E126" s="355"/>
      <c r="F126" s="355"/>
      <c r="G126" s="355"/>
      <c r="H126" s="355"/>
      <c r="I126" s="355"/>
      <c r="J126" s="355"/>
      <c r="K126" s="355"/>
      <c r="L126" s="355"/>
      <c r="M126" s="355"/>
      <c r="N126" s="355"/>
      <c r="O126" s="356"/>
    </row>
    <row r="127" spans="1:15">
      <c r="A127" s="116">
        <v>20</v>
      </c>
      <c r="B127" s="665" t="s">
        <v>324</v>
      </c>
      <c r="D127" s="105"/>
      <c r="E127" s="105"/>
      <c r="F127" s="105"/>
      <c r="G127" s="105"/>
      <c r="H127" s="105"/>
      <c r="I127" s="105"/>
      <c r="J127" s="105"/>
      <c r="K127" s="105"/>
      <c r="L127" s="105"/>
      <c r="M127" s="105"/>
      <c r="N127" s="105"/>
      <c r="O127" s="104"/>
    </row>
    <row r="128" spans="1:15">
      <c r="A128" s="116">
        <v>21</v>
      </c>
      <c r="B128" t="s">
        <v>176</v>
      </c>
      <c r="D128" s="579">
        <f t="shared" ref="D128:H128" si="25">MAX(D111:D126)</f>
        <v>0.33030966531122929</v>
      </c>
      <c r="E128" s="579">
        <f t="shared" si="25"/>
        <v>0.32661228259196551</v>
      </c>
      <c r="F128" s="579">
        <f t="shared" si="25"/>
        <v>0.32445802415248071</v>
      </c>
      <c r="G128" s="579">
        <f t="shared" si="25"/>
        <v>0.25916800909693927</v>
      </c>
      <c r="H128" s="579">
        <f t="shared" si="25"/>
        <v>0.29459798994974873</v>
      </c>
      <c r="I128" s="579">
        <f t="shared" ref="I128:N128" si="26">MAX(I111:I126)</f>
        <v>0.26089401180770311</v>
      </c>
      <c r="J128" s="579">
        <f t="shared" si="26"/>
        <v>0.20858446828665406</v>
      </c>
      <c r="K128" s="579">
        <f t="shared" si="26"/>
        <v>0.18631770528795077</v>
      </c>
      <c r="L128" s="579">
        <f t="shared" si="26"/>
        <v>0.20620768485358948</v>
      </c>
      <c r="M128" s="579">
        <f t="shared" si="26"/>
        <v>0.26711169154117875</v>
      </c>
      <c r="N128" s="579">
        <f t="shared" si="26"/>
        <v>0.14925072809107756</v>
      </c>
    </row>
    <row r="129" spans="1:15">
      <c r="A129" s="116">
        <v>22</v>
      </c>
      <c r="B129" t="s">
        <v>175</v>
      </c>
      <c r="D129" s="579">
        <f t="shared" ref="D129:H129" si="27">MIN(D111:D126)</f>
        <v>-2.8159870066726107</v>
      </c>
      <c r="E129" s="579">
        <f t="shared" si="27"/>
        <v>-1.7097264647400661</v>
      </c>
      <c r="F129" s="579">
        <f t="shared" si="27"/>
        <v>-0.20501221249074933</v>
      </c>
      <c r="G129" s="579">
        <f t="shared" si="27"/>
        <v>-0.33239415049609855</v>
      </c>
      <c r="H129" s="579">
        <f t="shared" si="27"/>
        <v>-0.31588773777515911</v>
      </c>
      <c r="I129" s="579">
        <f t="shared" ref="I129:N129" si="28">MIN(I111:I126)</f>
        <v>-0.26176925468854695</v>
      </c>
      <c r="J129" s="579">
        <f t="shared" si="28"/>
        <v>-0.33167451540504561</v>
      </c>
      <c r="K129" s="579">
        <f t="shared" si="28"/>
        <v>-0.38165579568330665</v>
      </c>
      <c r="L129" s="579">
        <f t="shared" si="28"/>
        <v>-0.22479536054686636</v>
      </c>
      <c r="M129" s="579">
        <f t="shared" si="28"/>
        <v>-5.0089176031682676E-2</v>
      </c>
      <c r="N129" s="579">
        <f t="shared" si="28"/>
        <v>0</v>
      </c>
    </row>
    <row r="130" spans="1:15">
      <c r="D130" s="105"/>
      <c r="E130" s="105"/>
      <c r="F130" s="105"/>
      <c r="G130" s="105"/>
      <c r="H130" s="105"/>
      <c r="I130" s="105"/>
      <c r="J130" s="105"/>
      <c r="K130" s="105"/>
      <c r="L130" s="105"/>
      <c r="M130" s="105"/>
      <c r="N130" s="105"/>
    </row>
    <row r="131" spans="1:15">
      <c r="A131" s="116">
        <v>1</v>
      </c>
      <c r="D131" s="578" t="str">
        <f t="shared" ref="D131:M131" si="29">"FY"&amp;RIGHT(D133,2)</f>
        <v>FY15</v>
      </c>
      <c r="E131" s="578" t="str">
        <f t="shared" si="29"/>
        <v>FY16</v>
      </c>
      <c r="F131" s="578" t="str">
        <f t="shared" si="29"/>
        <v>FY17</v>
      </c>
      <c r="G131" s="578" t="str">
        <f t="shared" si="29"/>
        <v>FY18</v>
      </c>
      <c r="H131" s="578" t="str">
        <f t="shared" si="29"/>
        <v>FY19</v>
      </c>
      <c r="I131" s="578" t="str">
        <f t="shared" si="29"/>
        <v>FY20</v>
      </c>
      <c r="J131" s="578" t="str">
        <f t="shared" si="29"/>
        <v>FY21</v>
      </c>
      <c r="K131" s="578" t="str">
        <f t="shared" si="29"/>
        <v>FY22</v>
      </c>
      <c r="L131" s="578" t="str">
        <f t="shared" si="29"/>
        <v>FY23</v>
      </c>
      <c r="M131" s="578" t="str">
        <f t="shared" si="29"/>
        <v>FY24</v>
      </c>
      <c r="N131" s="578" t="str">
        <f>"FY"&amp;RIGHT(N133,2)</f>
        <v>FY25</v>
      </c>
    </row>
    <row r="132" spans="1:15" ht="10.5">
      <c r="A132" s="116">
        <v>2</v>
      </c>
      <c r="B132" s="666" t="s">
        <v>81</v>
      </c>
      <c r="C132" s="666"/>
      <c r="D132" s="667"/>
      <c r="E132" s="667"/>
      <c r="F132" s="667"/>
      <c r="G132" s="667"/>
      <c r="H132" s="667"/>
      <c r="I132" s="667"/>
      <c r="J132" s="667"/>
      <c r="K132" s="667"/>
      <c r="L132" s="667"/>
      <c r="M132" s="667"/>
      <c r="N132" s="667"/>
      <c r="O132" s="666"/>
    </row>
    <row r="133" spans="1:15" ht="10.5">
      <c r="A133" s="116">
        <v>3</v>
      </c>
      <c r="B133" s="418" t="s">
        <v>28</v>
      </c>
      <c r="C133" s="419" t="s">
        <v>123</v>
      </c>
      <c r="D133" s="760" t="str">
        <f>D$8</f>
        <v>FY2015</v>
      </c>
      <c r="E133" s="760" t="str">
        <f t="shared" ref="E133:N133" si="30">E$8</f>
        <v>FY2016</v>
      </c>
      <c r="F133" s="760" t="str">
        <f t="shared" si="30"/>
        <v>FY2017</v>
      </c>
      <c r="G133" s="760" t="str">
        <f t="shared" si="30"/>
        <v>FY2018</v>
      </c>
      <c r="H133" s="760" t="str">
        <f t="shared" si="30"/>
        <v>FY2019</v>
      </c>
      <c r="I133" s="760" t="str">
        <f t="shared" si="30"/>
        <v>FY2020</v>
      </c>
      <c r="J133" s="760" t="str">
        <f t="shared" si="30"/>
        <v>FY2021</v>
      </c>
      <c r="K133" s="760" t="str">
        <f t="shared" si="30"/>
        <v>FY2022</v>
      </c>
      <c r="L133" s="760" t="str">
        <f t="shared" si="30"/>
        <v>FY2023</v>
      </c>
      <c r="M133" s="760" t="str">
        <f t="shared" si="30"/>
        <v>FY2024</v>
      </c>
      <c r="N133" s="760" t="str">
        <f t="shared" si="30"/>
        <v>FY2025</v>
      </c>
      <c r="O133" s="483" t="s">
        <v>190</v>
      </c>
    </row>
    <row r="134" spans="1:15">
      <c r="A134" s="116">
        <v>4</v>
      </c>
      <c r="B134" s="432" t="str">
        <f>IF($C134="","",IFERROR('Comps'!B13,"DELETE"))</f>
        <v>Netflix, Inc.</v>
      </c>
      <c r="C134" s="13" t="str">
        <f>IF('Comps'!C13="","",'Comps'!C13)</f>
        <v>NasdaqGS:NFLX</v>
      </c>
      <c r="D134" s="577">
        <f>IFERROR(D29/D9,0)</f>
        <v>0.32274230398033127</v>
      </c>
      <c r="E134" s="577">
        <f t="shared" ref="E134:F134" si="31">IFERROR(E29/E9,0)</f>
        <v>0.29139434396193536</v>
      </c>
      <c r="F134" s="577">
        <f t="shared" si="31"/>
        <v>0.31299092007132989</v>
      </c>
      <c r="G134" s="577">
        <f t="shared" ref="G134:N134" si="32">IFERROR(G29/G9,0)</f>
        <v>0.36891713304151152</v>
      </c>
      <c r="H134" s="577">
        <f t="shared" si="32"/>
        <v>0.38281717010939481</v>
      </c>
      <c r="I134" s="577">
        <f t="shared" si="32"/>
        <v>0.3888508251061687</v>
      </c>
      <c r="J134" s="577">
        <f t="shared" si="32"/>
        <v>0.41636561226464791</v>
      </c>
      <c r="K134" s="577">
        <f t="shared" si="32"/>
        <v>0.39370705238403253</v>
      </c>
      <c r="L134" s="577">
        <f t="shared" si="32"/>
        <v>0.41537839553469524</v>
      </c>
      <c r="M134" s="577">
        <f t="shared" si="32"/>
        <v>0.46056556650417324</v>
      </c>
      <c r="N134" s="577">
        <f t="shared" si="32"/>
        <v>0</v>
      </c>
      <c r="O134" s="575">
        <f t="shared" ref="O134:O148" si="33">IF($C134="","",IFERROR(AVERAGE(K134:M134),"NA"))</f>
        <v>0.42321700480763363</v>
      </c>
    </row>
    <row r="135" spans="1:15">
      <c r="A135" s="116">
        <v>5</v>
      </c>
      <c r="B135" s="432" t="str">
        <f>IF($C135="","",IFERROR('Comps'!B14,"DELETE"))</f>
        <v>Spotify Technology S.A.</v>
      </c>
      <c r="C135" s="13" t="str">
        <f>IF('Comps'!C14="","",'Comps'!C14)</f>
        <v>NYSE:SPOT</v>
      </c>
      <c r="D135" s="577">
        <f t="shared" ref="D135:N135" si="34">IFERROR(D30/D10,0)</f>
        <v>0.11649484339918934</v>
      </c>
      <c r="E135" s="577">
        <f t="shared" si="34"/>
        <v>0.1358401084163029</v>
      </c>
      <c r="F135" s="577">
        <f t="shared" si="34"/>
        <v>0.20757946225851492</v>
      </c>
      <c r="G135" s="577">
        <f t="shared" si="34"/>
        <v>0.25727324639382293</v>
      </c>
      <c r="H135" s="577">
        <f t="shared" si="34"/>
        <v>0.25458308710064853</v>
      </c>
      <c r="I135" s="577">
        <f t="shared" si="34"/>
        <v>0.25571065947784138</v>
      </c>
      <c r="J135" s="577">
        <f t="shared" si="34"/>
        <v>0.26799751771463676</v>
      </c>
      <c r="K135" s="577">
        <f t="shared" si="34"/>
        <v>0.24950967847842337</v>
      </c>
      <c r="L135" s="577">
        <f t="shared" si="34"/>
        <v>0.26028534731092901</v>
      </c>
      <c r="M135" s="577">
        <f t="shared" si="34"/>
        <v>0.30249473617009109</v>
      </c>
      <c r="N135" s="577">
        <f t="shared" si="34"/>
        <v>0</v>
      </c>
      <c r="O135" s="575">
        <f t="shared" si="33"/>
        <v>0.27076325398648121</v>
      </c>
    </row>
    <row r="136" spans="1:15">
      <c r="A136" s="116">
        <v>6</v>
      </c>
      <c r="B136" s="432" t="str">
        <f>IF($C136="","",IFERROR('Comps'!B15,"DELETE"))</f>
        <v>Roku, Inc.</v>
      </c>
      <c r="C136" s="13" t="str">
        <f>IF('Comps'!C15="","",'Comps'!C15)</f>
        <v>NasdaqGS:ROKU</v>
      </c>
      <c r="D136" s="577">
        <f t="shared" ref="D136:N136" si="35">IFERROR(D31/D11,0)</f>
        <v>0.28068167962558266</v>
      </c>
      <c r="E136" s="577">
        <f t="shared" si="35"/>
        <v>0.30363803747156021</v>
      </c>
      <c r="F136" s="577">
        <f t="shared" si="35"/>
        <v>0.38971805688007904</v>
      </c>
      <c r="G136" s="577">
        <f t="shared" si="35"/>
        <v>0.44733375891911992</v>
      </c>
      <c r="H136" s="577">
        <f t="shared" si="35"/>
        <v>0.43867019924334827</v>
      </c>
      <c r="I136" s="577">
        <f t="shared" si="35"/>
        <v>0.45446719163647081</v>
      </c>
      <c r="J136" s="577">
        <f t="shared" si="35"/>
        <v>0.50951607909182717</v>
      </c>
      <c r="K136" s="577">
        <f t="shared" si="35"/>
        <v>0.46093277731827004</v>
      </c>
      <c r="L136" s="577">
        <f t="shared" si="35"/>
        <v>0.45714323431055159</v>
      </c>
      <c r="M136" s="577">
        <f t="shared" si="35"/>
        <v>0.43902085585395012</v>
      </c>
      <c r="N136" s="577">
        <f t="shared" si="35"/>
        <v>0</v>
      </c>
      <c r="O136" s="575">
        <f t="shared" si="33"/>
        <v>0.45236562249425721</v>
      </c>
    </row>
    <row r="137" spans="1:15">
      <c r="A137" s="116">
        <v>7</v>
      </c>
      <c r="B137" s="432" t="str">
        <f>IF($C137="","",IFERROR('Comps'!B16,"DELETE"))</f>
        <v>Iqiyi, Inc.</v>
      </c>
      <c r="C137" s="13" t="str">
        <f>IF('Comps'!C16="","",'Comps'!C16)</f>
        <v>NasdaqGS:IQ</v>
      </c>
      <c r="D137" s="577">
        <f t="shared" ref="D137:N137" si="36">IFERROR(D32/D12,0)</f>
        <v>-0.13597228751546453</v>
      </c>
      <c r="E137" s="577">
        <f t="shared" si="36"/>
        <v>1.1596114609885944E-3</v>
      </c>
      <c r="F137" s="577">
        <f t="shared" si="36"/>
        <v>2.1982640602769627E-2</v>
      </c>
      <c r="G137" s="577">
        <f t="shared" si="36"/>
        <v>-8.5785146498774972E-2</v>
      </c>
      <c r="H137" s="577">
        <f t="shared" si="36"/>
        <v>-4.3305608645605953E-2</v>
      </c>
      <c r="I137" s="577">
        <f t="shared" si="36"/>
        <v>8.8990940627077214E-2</v>
      </c>
      <c r="J137" s="577">
        <f t="shared" si="36"/>
        <v>0.10563337371409622</v>
      </c>
      <c r="K137" s="577">
        <f t="shared" si="36"/>
        <v>0.23263180697481245</v>
      </c>
      <c r="L137" s="577">
        <f t="shared" si="36"/>
        <v>0.28310428179294589</v>
      </c>
      <c r="M137" s="577">
        <f t="shared" si="36"/>
        <v>0.25207435548741208</v>
      </c>
      <c r="N137" s="577">
        <f t="shared" si="36"/>
        <v>0</v>
      </c>
      <c r="O137" s="575">
        <f t="shared" si="33"/>
        <v>0.25593681475172347</v>
      </c>
    </row>
    <row r="138" spans="1:15">
      <c r="A138" s="116">
        <v>8</v>
      </c>
      <c r="B138" s="432" t="str">
        <f>IF($C138="","",IFERROR('Comps'!B17,"DELETE"))</f>
        <v>Bilibili Inc.</v>
      </c>
      <c r="C138" s="13" t="str">
        <f>IF('Comps'!C17="","",'Comps'!C17)</f>
        <v>NasdaqGS:BILI</v>
      </c>
      <c r="D138" s="577">
        <f t="shared" ref="D138:N138" si="37">IFERROR(D33/D13,0)</f>
        <v>-1.3173839281421813</v>
      </c>
      <c r="E138" s="577">
        <f t="shared" si="37"/>
        <v>-0.47677660990781495</v>
      </c>
      <c r="F138" s="577">
        <f t="shared" si="37"/>
        <v>0.22249114150568547</v>
      </c>
      <c r="G138" s="577">
        <f t="shared" si="37"/>
        <v>0.20718147492101965</v>
      </c>
      <c r="H138" s="577">
        <f t="shared" si="37"/>
        <v>0.17560676983704809</v>
      </c>
      <c r="I138" s="577">
        <f t="shared" si="37"/>
        <v>0.23670153508646644</v>
      </c>
      <c r="J138" s="577">
        <f t="shared" si="37"/>
        <v>0.20858506666787796</v>
      </c>
      <c r="K138" s="577">
        <f t="shared" si="37"/>
        <v>0.17577357993178599</v>
      </c>
      <c r="L138" s="577">
        <f t="shared" si="37"/>
        <v>0.24156019920870134</v>
      </c>
      <c r="M138" s="577">
        <f t="shared" si="37"/>
        <v>0.32700202546266149</v>
      </c>
      <c r="N138" s="577">
        <f t="shared" si="37"/>
        <v>0</v>
      </c>
      <c r="O138" s="575">
        <f t="shared" si="33"/>
        <v>0.24811193486771624</v>
      </c>
    </row>
    <row r="139" spans="1:15">
      <c r="A139" s="116">
        <v>9</v>
      </c>
      <c r="B139" s="432" t="str">
        <f>IF($C139="","",IFERROR('Comps'!B18,"DELETE"))</f>
        <v>The Walt Disney Company</v>
      </c>
      <c r="C139" s="13" t="str">
        <f>IF('Comps'!C18="","",'Comps'!C18)</f>
        <v>NYSE:DIS</v>
      </c>
      <c r="D139" s="577">
        <f t="shared" ref="D139:N139" si="38">IFERROR(D34/D14,0)</f>
        <v>0.45937291527685126</v>
      </c>
      <c r="E139" s="577">
        <f t="shared" si="38"/>
        <v>0.46318665516249641</v>
      </c>
      <c r="F139" s="577">
        <f t="shared" si="38"/>
        <v>0.45035094401218784</v>
      </c>
      <c r="G139" s="577">
        <f t="shared" si="38"/>
        <v>0.44937241309688059</v>
      </c>
      <c r="H139" s="577">
        <f t="shared" si="38"/>
        <v>0.39573606102834485</v>
      </c>
      <c r="I139" s="577">
        <f t="shared" si="38"/>
        <v>0.32892885544748274</v>
      </c>
      <c r="J139" s="577">
        <f t="shared" si="38"/>
        <v>0.33057937049452668</v>
      </c>
      <c r="K139" s="577">
        <f t="shared" si="38"/>
        <v>0.34236357921713689</v>
      </c>
      <c r="L139" s="577">
        <f t="shared" si="38"/>
        <v>0.33405700915656145</v>
      </c>
      <c r="M139" s="577">
        <f t="shared" si="38"/>
        <v>0.35751578901281728</v>
      </c>
      <c r="N139" s="577">
        <f t="shared" si="38"/>
        <v>0.3776436325125761</v>
      </c>
      <c r="O139" s="575">
        <f t="shared" si="33"/>
        <v>0.34464545912883854</v>
      </c>
    </row>
    <row r="140" spans="1:15">
      <c r="A140" s="116">
        <v>10</v>
      </c>
      <c r="B140" s="432" t="str">
        <f>IF($C140="","",IFERROR('Comps'!B19,"DELETE"))</f>
        <v>Warner Bros. Discovery, Inc.</v>
      </c>
      <c r="C140" s="13" t="str">
        <f>IF('Comps'!C19="","",'Comps'!C19)</f>
        <v>NasdaqGS:WBD</v>
      </c>
      <c r="D140" s="577">
        <f t="shared" ref="D140:N140" si="39">IFERROR(D35/D15,0)</f>
        <v>0.64294651235533318</v>
      </c>
      <c r="E140" s="577">
        <f t="shared" si="39"/>
        <v>0.63567800523318452</v>
      </c>
      <c r="F140" s="577">
        <f t="shared" si="39"/>
        <v>0.61821620835152047</v>
      </c>
      <c r="G140" s="577">
        <f t="shared" si="39"/>
        <v>0.62948924476452195</v>
      </c>
      <c r="H140" s="577">
        <f t="shared" si="39"/>
        <v>0.66331658291457285</v>
      </c>
      <c r="I140" s="577">
        <f t="shared" si="39"/>
        <v>0.64277012463686622</v>
      </c>
      <c r="J140" s="577">
        <f t="shared" si="39"/>
        <v>0.62144204741202524</v>
      </c>
      <c r="K140" s="577">
        <f t="shared" si="39"/>
        <v>0.39701925067273858</v>
      </c>
      <c r="L140" s="577">
        <f t="shared" si="39"/>
        <v>0.41155828755354418</v>
      </c>
      <c r="M140" s="577">
        <f t="shared" si="39"/>
        <v>0.4258284377304748</v>
      </c>
      <c r="N140" s="577">
        <f t="shared" si="39"/>
        <v>0</v>
      </c>
      <c r="O140" s="575">
        <f t="shared" si="33"/>
        <v>0.41146865865225252</v>
      </c>
    </row>
    <row r="141" spans="1:15">
      <c r="A141" s="116">
        <v>11</v>
      </c>
      <c r="B141" s="432" t="str">
        <f>IF($C141="","",IFERROR('Comps'!B20,"DELETE"))</f>
        <v>Paramount Skydance Corporation</v>
      </c>
      <c r="C141" s="13" t="str">
        <f>IF('Comps'!C20="","",'Comps'!C20)</f>
        <v>NasdaqGS:PSKY</v>
      </c>
      <c r="D141" s="577">
        <f t="shared" ref="D141:N141" si="40">IFERROR(D36/D16,0)</f>
        <v>0.37566095809328387</v>
      </c>
      <c r="E141" s="577">
        <f t="shared" si="40"/>
        <v>0.3957162387969011</v>
      </c>
      <c r="F141" s="577">
        <f t="shared" si="40"/>
        <v>0.41650650084793667</v>
      </c>
      <c r="G141" s="577">
        <f t="shared" si="40"/>
        <v>0.41725638599810783</v>
      </c>
      <c r="H141" s="577">
        <f t="shared" si="40"/>
        <v>0.40277057559819246</v>
      </c>
      <c r="I141" s="577">
        <f t="shared" si="40"/>
        <v>0.41336760925449872</v>
      </c>
      <c r="J141" s="577">
        <f t="shared" si="40"/>
        <v>0.37927656894983558</v>
      </c>
      <c r="K141" s="577">
        <f t="shared" si="40"/>
        <v>0.3418783577634808</v>
      </c>
      <c r="L141" s="577">
        <f t="shared" si="40"/>
        <v>0.32493592337784971</v>
      </c>
      <c r="M141" s="577">
        <f t="shared" si="40"/>
        <v>0.33464553452230172</v>
      </c>
      <c r="N141" s="577">
        <f t="shared" si="40"/>
        <v>0</v>
      </c>
      <c r="O141" s="575">
        <f t="shared" si="33"/>
        <v>0.33381993855454412</v>
      </c>
    </row>
    <row r="142" spans="1:15">
      <c r="A142" s="116">
        <v>12</v>
      </c>
      <c r="B142" s="432" t="str">
        <f>IF($C142="","",IFERROR('Comps'!B21,"DELETE"))</f>
        <v>Comcast Corporation</v>
      </c>
      <c r="C142" s="13" t="str">
        <f>IF('Comps'!C21="","",'Comps'!C21)</f>
        <v>NasdaqGS:CMCSA</v>
      </c>
      <c r="D142" s="577">
        <f t="shared" ref="D142:N142" si="41">IFERROR(D37/D17,0)</f>
        <v>0.6973560595893169</v>
      </c>
      <c r="E142" s="577">
        <f t="shared" si="41"/>
        <v>0.69842449464922707</v>
      </c>
      <c r="F142" s="577">
        <f t="shared" si="41"/>
        <v>0.70180761857719132</v>
      </c>
      <c r="G142" s="577">
        <f t="shared" si="41"/>
        <v>0.68582221422751755</v>
      </c>
      <c r="H142" s="577">
        <f t="shared" si="41"/>
        <v>0.68386848047584958</v>
      </c>
      <c r="I142" s="577">
        <f t="shared" si="41"/>
        <v>0.68018809624966203</v>
      </c>
      <c r="J142" s="577">
        <f t="shared" si="41"/>
        <v>0.66963096618980111</v>
      </c>
      <c r="K142" s="577">
        <f t="shared" si="41"/>
        <v>0.68530063330231328</v>
      </c>
      <c r="L142" s="577">
        <f t="shared" si="41"/>
        <v>0.69761129207383277</v>
      </c>
      <c r="M142" s="577">
        <f t="shared" si="41"/>
        <v>0.70075405516806621</v>
      </c>
      <c r="N142" s="577">
        <f t="shared" si="41"/>
        <v>0</v>
      </c>
      <c r="O142" s="575">
        <f t="shared" si="33"/>
        <v>0.69455532684807064</v>
      </c>
    </row>
    <row r="143" spans="1:15">
      <c r="A143" s="116">
        <v>13</v>
      </c>
      <c r="B143" s="432" t="str">
        <f>IF($C143="","",IFERROR('Comps'!B22,"DELETE"))</f>
        <v/>
      </c>
      <c r="C143" s="13" t="str">
        <f>IF('Comps'!C22="","",'Comps'!C22)</f>
        <v/>
      </c>
      <c r="D143" s="577">
        <f t="shared" ref="D143:N143" si="42">IFERROR(D38/D18,0)</f>
        <v>0</v>
      </c>
      <c r="E143" s="577">
        <f t="shared" si="42"/>
        <v>0</v>
      </c>
      <c r="F143" s="577">
        <f t="shared" si="42"/>
        <v>0</v>
      </c>
      <c r="G143" s="577">
        <f t="shared" si="42"/>
        <v>0</v>
      </c>
      <c r="H143" s="577">
        <f t="shared" si="42"/>
        <v>0</v>
      </c>
      <c r="I143" s="577">
        <f t="shared" si="42"/>
        <v>0</v>
      </c>
      <c r="J143" s="577">
        <f t="shared" si="42"/>
        <v>0</v>
      </c>
      <c r="K143" s="577">
        <f t="shared" si="42"/>
        <v>0</v>
      </c>
      <c r="L143" s="577">
        <f t="shared" si="42"/>
        <v>0</v>
      </c>
      <c r="M143" s="577">
        <f t="shared" si="42"/>
        <v>0</v>
      </c>
      <c r="N143" s="577">
        <f t="shared" si="42"/>
        <v>0</v>
      </c>
      <c r="O143" s="575" t="str">
        <f t="shared" si="33"/>
        <v/>
      </c>
    </row>
    <row r="144" spans="1:15">
      <c r="A144" s="116">
        <v>14</v>
      </c>
      <c r="B144" s="432" t="str">
        <f>IF($C144="","",IFERROR('Comps'!B23,"DELETE"))</f>
        <v/>
      </c>
      <c r="C144" s="13" t="str">
        <f>IF('Comps'!C23="","",'Comps'!C23)</f>
        <v/>
      </c>
      <c r="D144" s="577">
        <f t="shared" ref="D144:N144" si="43">IFERROR(D39/D19,0)</f>
        <v>0</v>
      </c>
      <c r="E144" s="577">
        <f t="shared" si="43"/>
        <v>0</v>
      </c>
      <c r="F144" s="577">
        <f t="shared" si="43"/>
        <v>0</v>
      </c>
      <c r="G144" s="577">
        <f t="shared" si="43"/>
        <v>0</v>
      </c>
      <c r="H144" s="577">
        <f t="shared" si="43"/>
        <v>0</v>
      </c>
      <c r="I144" s="577">
        <f t="shared" si="43"/>
        <v>0</v>
      </c>
      <c r="J144" s="577">
        <f t="shared" si="43"/>
        <v>0</v>
      </c>
      <c r="K144" s="577">
        <f t="shared" si="43"/>
        <v>0</v>
      </c>
      <c r="L144" s="577">
        <f t="shared" si="43"/>
        <v>0</v>
      </c>
      <c r="M144" s="577">
        <f t="shared" si="43"/>
        <v>0</v>
      </c>
      <c r="N144" s="577">
        <f t="shared" si="43"/>
        <v>0</v>
      </c>
      <c r="O144" s="575" t="str">
        <f t="shared" si="33"/>
        <v/>
      </c>
    </row>
    <row r="145" spans="1:15">
      <c r="A145" s="116">
        <v>15</v>
      </c>
      <c r="B145" s="432" t="str">
        <f>IF($C145="","",IFERROR('Comps'!B24,"DELETE"))</f>
        <v/>
      </c>
      <c r="C145" s="13" t="str">
        <f>IF('Comps'!C24="","",'Comps'!C24)</f>
        <v/>
      </c>
      <c r="D145" s="577">
        <f t="shared" ref="D145:N145" si="44">IFERROR(D40/D20,0)</f>
        <v>0</v>
      </c>
      <c r="E145" s="577">
        <f t="shared" si="44"/>
        <v>0</v>
      </c>
      <c r="F145" s="577">
        <f t="shared" si="44"/>
        <v>0</v>
      </c>
      <c r="G145" s="577">
        <f t="shared" si="44"/>
        <v>0</v>
      </c>
      <c r="H145" s="577">
        <f t="shared" si="44"/>
        <v>0</v>
      </c>
      <c r="I145" s="577">
        <f t="shared" si="44"/>
        <v>0</v>
      </c>
      <c r="J145" s="577">
        <f t="shared" si="44"/>
        <v>0</v>
      </c>
      <c r="K145" s="577">
        <f t="shared" si="44"/>
        <v>0</v>
      </c>
      <c r="L145" s="577">
        <f t="shared" si="44"/>
        <v>0</v>
      </c>
      <c r="M145" s="577">
        <f t="shared" si="44"/>
        <v>0</v>
      </c>
      <c r="N145" s="577">
        <f t="shared" si="44"/>
        <v>0</v>
      </c>
      <c r="O145" s="575" t="str">
        <f t="shared" si="33"/>
        <v/>
      </c>
    </row>
    <row r="146" spans="1:15">
      <c r="A146" s="116">
        <v>16</v>
      </c>
      <c r="B146" s="432" t="str">
        <f>IF($C146="","",IFERROR('Comps'!B25,"DELETE"))</f>
        <v/>
      </c>
      <c r="C146" s="13" t="str">
        <f>IF('Comps'!C25="","",'Comps'!C25)</f>
        <v/>
      </c>
      <c r="D146" s="577">
        <f t="shared" ref="D146:N146" si="45">IFERROR(D41/D21,0)</f>
        <v>0</v>
      </c>
      <c r="E146" s="577">
        <f t="shared" si="45"/>
        <v>0</v>
      </c>
      <c r="F146" s="577">
        <f t="shared" si="45"/>
        <v>0</v>
      </c>
      <c r="G146" s="577">
        <f t="shared" si="45"/>
        <v>0</v>
      </c>
      <c r="H146" s="577">
        <f t="shared" si="45"/>
        <v>0</v>
      </c>
      <c r="I146" s="577">
        <f t="shared" si="45"/>
        <v>0</v>
      </c>
      <c r="J146" s="577">
        <f t="shared" si="45"/>
        <v>0</v>
      </c>
      <c r="K146" s="577">
        <f t="shared" si="45"/>
        <v>0</v>
      </c>
      <c r="L146" s="577">
        <f t="shared" si="45"/>
        <v>0</v>
      </c>
      <c r="M146" s="577">
        <f t="shared" si="45"/>
        <v>0</v>
      </c>
      <c r="N146" s="577">
        <f t="shared" si="45"/>
        <v>0</v>
      </c>
      <c r="O146" s="575" t="str">
        <f t="shared" si="33"/>
        <v/>
      </c>
    </row>
    <row r="147" spans="1:15">
      <c r="A147" s="116">
        <v>17</v>
      </c>
      <c r="B147" s="432" t="str">
        <f>IF($C147="","",IFERROR('Comps'!B26,"DELETE"))</f>
        <v/>
      </c>
      <c r="C147" s="13" t="str">
        <f>IF('Comps'!C26="","",'Comps'!C26)</f>
        <v/>
      </c>
      <c r="D147" s="577">
        <f t="shared" ref="D147:N147" si="46">IFERROR(D42/D22,0)</f>
        <v>0</v>
      </c>
      <c r="E147" s="577">
        <f t="shared" si="46"/>
        <v>0</v>
      </c>
      <c r="F147" s="577">
        <f t="shared" si="46"/>
        <v>0</v>
      </c>
      <c r="G147" s="577">
        <f t="shared" si="46"/>
        <v>0</v>
      </c>
      <c r="H147" s="577">
        <f t="shared" si="46"/>
        <v>0</v>
      </c>
      <c r="I147" s="577">
        <f t="shared" si="46"/>
        <v>0</v>
      </c>
      <c r="J147" s="577">
        <f t="shared" si="46"/>
        <v>0</v>
      </c>
      <c r="K147" s="577">
        <f t="shared" si="46"/>
        <v>0</v>
      </c>
      <c r="L147" s="577">
        <f t="shared" si="46"/>
        <v>0</v>
      </c>
      <c r="M147" s="577">
        <f t="shared" si="46"/>
        <v>0</v>
      </c>
      <c r="N147" s="577">
        <f t="shared" si="46"/>
        <v>0</v>
      </c>
      <c r="O147" s="575" t="str">
        <f t="shared" si="33"/>
        <v/>
      </c>
    </row>
    <row r="148" spans="1:15">
      <c r="A148" s="116">
        <v>18</v>
      </c>
      <c r="B148" s="432" t="str">
        <f>IF($C148="","",IFERROR('Comps'!B27,"DELETE"))</f>
        <v/>
      </c>
      <c r="C148" s="13" t="str">
        <f>IF('Comps'!C27="","",'Comps'!C27)</f>
        <v/>
      </c>
      <c r="D148" s="577">
        <f t="shared" ref="D148:N148" si="47">IFERROR(D43/D23,0)</f>
        <v>0</v>
      </c>
      <c r="E148" s="577">
        <f t="shared" si="47"/>
        <v>0</v>
      </c>
      <c r="F148" s="577">
        <f t="shared" si="47"/>
        <v>0</v>
      </c>
      <c r="G148" s="577">
        <f t="shared" si="47"/>
        <v>0</v>
      </c>
      <c r="H148" s="577">
        <f t="shared" si="47"/>
        <v>0</v>
      </c>
      <c r="I148" s="577">
        <f t="shared" si="47"/>
        <v>0</v>
      </c>
      <c r="J148" s="577">
        <f t="shared" si="47"/>
        <v>0</v>
      </c>
      <c r="K148" s="577">
        <f t="shared" si="47"/>
        <v>0</v>
      </c>
      <c r="L148" s="577">
        <f t="shared" si="47"/>
        <v>0</v>
      </c>
      <c r="M148" s="577">
        <f t="shared" si="47"/>
        <v>0</v>
      </c>
      <c r="N148" s="577">
        <f t="shared" si="47"/>
        <v>0</v>
      </c>
      <c r="O148" s="575" t="str">
        <f t="shared" si="33"/>
        <v/>
      </c>
    </row>
    <row r="149" spans="1:15" ht="4.4000000000000004" customHeight="1" thickBot="1">
      <c r="A149" s="116">
        <v>19</v>
      </c>
      <c r="B149" s="352"/>
      <c r="C149" s="353"/>
      <c r="D149" s="355"/>
      <c r="E149" s="355"/>
      <c r="F149" s="355"/>
      <c r="G149" s="355"/>
      <c r="H149" s="355"/>
      <c r="I149" s="355"/>
      <c r="J149" s="355"/>
      <c r="K149" s="355"/>
      <c r="L149" s="355"/>
      <c r="M149" s="355"/>
      <c r="N149" s="355"/>
      <c r="O149" s="356"/>
    </row>
    <row r="150" spans="1:15">
      <c r="A150" s="116">
        <v>20</v>
      </c>
      <c r="B150" s="665" t="s">
        <v>324</v>
      </c>
      <c r="D150" s="105"/>
      <c r="E150" s="105"/>
      <c r="F150" s="105"/>
      <c r="G150" s="105"/>
      <c r="H150" s="105"/>
      <c r="I150" s="105"/>
      <c r="J150" s="105"/>
      <c r="K150" s="105"/>
      <c r="L150" s="105"/>
      <c r="M150" s="105"/>
      <c r="N150" s="105"/>
      <c r="O150" s="104"/>
    </row>
    <row r="151" spans="1:15">
      <c r="A151" s="116">
        <v>21</v>
      </c>
      <c r="B151" t="s">
        <v>176</v>
      </c>
      <c r="D151" s="579">
        <f>MAX(D134:D149)</f>
        <v>0.6973560595893169</v>
      </c>
      <c r="E151" s="579">
        <f t="shared" ref="E151:H151" si="48">MAX(E134:E149)</f>
        <v>0.69842449464922707</v>
      </c>
      <c r="F151" s="579">
        <f t="shared" si="48"/>
        <v>0.70180761857719132</v>
      </c>
      <c r="G151" s="579">
        <f t="shared" si="48"/>
        <v>0.68582221422751755</v>
      </c>
      <c r="H151" s="579">
        <f t="shared" si="48"/>
        <v>0.68386848047584958</v>
      </c>
      <c r="I151" s="579">
        <f>MAX(I134:I149)</f>
        <v>0.68018809624966203</v>
      </c>
      <c r="J151" s="579">
        <f t="shared" ref="J151:N151" si="49">MAX(J134:J149)</f>
        <v>0.66963096618980111</v>
      </c>
      <c r="K151" s="579">
        <f t="shared" si="49"/>
        <v>0.68530063330231328</v>
      </c>
      <c r="L151" s="579">
        <f t="shared" si="49"/>
        <v>0.69761129207383277</v>
      </c>
      <c r="M151" s="579">
        <f t="shared" si="49"/>
        <v>0.70075405516806621</v>
      </c>
      <c r="N151" s="579">
        <f t="shared" si="49"/>
        <v>0.3776436325125761</v>
      </c>
    </row>
    <row r="152" spans="1:15">
      <c r="A152" s="116">
        <v>22</v>
      </c>
      <c r="B152" t="s">
        <v>175</v>
      </c>
      <c r="D152" s="579">
        <f t="shared" ref="D152:H152" si="50">MIN(D134:D149)</f>
        <v>-1.3173839281421813</v>
      </c>
      <c r="E152" s="579">
        <f t="shared" si="50"/>
        <v>-0.47677660990781495</v>
      </c>
      <c r="F152" s="579">
        <f t="shared" si="50"/>
        <v>0</v>
      </c>
      <c r="G152" s="579">
        <f t="shared" si="50"/>
        <v>-8.5785146498774972E-2</v>
      </c>
      <c r="H152" s="579">
        <f t="shared" si="50"/>
        <v>-4.3305608645605953E-2</v>
      </c>
      <c r="I152" s="579">
        <f t="shared" ref="I152:N152" si="51">MIN(I134:I149)</f>
        <v>0</v>
      </c>
      <c r="J152" s="579">
        <f t="shared" si="51"/>
        <v>0</v>
      </c>
      <c r="K152" s="579">
        <f t="shared" si="51"/>
        <v>0</v>
      </c>
      <c r="L152" s="579">
        <f t="shared" si="51"/>
        <v>0</v>
      </c>
      <c r="M152" s="579">
        <f t="shared" si="51"/>
        <v>0</v>
      </c>
      <c r="N152" s="579">
        <f t="shared" si="51"/>
        <v>0</v>
      </c>
    </row>
    <row r="153" spans="1:15">
      <c r="A153" s="116"/>
      <c r="D153" s="579"/>
      <c r="E153" s="579"/>
      <c r="F153" s="579"/>
      <c r="G153" s="579"/>
      <c r="H153" s="579"/>
      <c r="I153" s="579"/>
      <c r="J153" s="579"/>
      <c r="K153" s="579"/>
      <c r="L153" s="579"/>
      <c r="M153" s="579"/>
      <c r="N153" s="579"/>
    </row>
    <row r="154" spans="1:15">
      <c r="A154" s="116">
        <v>1</v>
      </c>
      <c r="D154" s="578" t="str">
        <f t="shared" ref="D154:M154" si="52">"FY"&amp;RIGHT(D156,2)</f>
        <v>FY15</v>
      </c>
      <c r="E154" s="578" t="str">
        <f t="shared" si="52"/>
        <v>FY16</v>
      </c>
      <c r="F154" s="578" t="str">
        <f t="shared" si="52"/>
        <v>FY17</v>
      </c>
      <c r="G154" s="578" t="str">
        <f t="shared" si="52"/>
        <v>FY18</v>
      </c>
      <c r="H154" s="578" t="str">
        <f t="shared" si="52"/>
        <v>FY19</v>
      </c>
      <c r="I154" s="578" t="str">
        <f t="shared" si="52"/>
        <v>FY20</v>
      </c>
      <c r="J154" s="578" t="str">
        <f t="shared" si="52"/>
        <v>FY21</v>
      </c>
      <c r="K154" s="578" t="str">
        <f t="shared" si="52"/>
        <v>FY22</v>
      </c>
      <c r="L154" s="578" t="str">
        <f t="shared" si="52"/>
        <v>FY23</v>
      </c>
      <c r="M154" s="578" t="str">
        <f t="shared" si="52"/>
        <v>FY24</v>
      </c>
      <c r="N154" s="578" t="str">
        <f>"FY"&amp;RIGHT(N156,2)</f>
        <v>FY25</v>
      </c>
    </row>
    <row r="155" spans="1:15" ht="10.5">
      <c r="A155" s="116">
        <v>2</v>
      </c>
      <c r="B155" s="666" t="s">
        <v>82</v>
      </c>
      <c r="C155" s="666"/>
      <c r="D155" s="667"/>
      <c r="E155" s="667"/>
      <c r="F155" s="667"/>
      <c r="G155" s="667"/>
      <c r="H155" s="667"/>
      <c r="I155" s="667"/>
      <c r="J155" s="667"/>
      <c r="K155" s="667"/>
      <c r="L155" s="667"/>
      <c r="M155" s="667"/>
      <c r="N155" s="667"/>
      <c r="O155" s="666"/>
    </row>
    <row r="156" spans="1:15" ht="10.5">
      <c r="A156" s="116">
        <v>3</v>
      </c>
      <c r="B156" s="418" t="s">
        <v>28</v>
      </c>
      <c r="C156" s="419" t="s">
        <v>123</v>
      </c>
      <c r="D156" s="760" t="str">
        <f>D$8</f>
        <v>FY2015</v>
      </c>
      <c r="E156" s="760" t="str">
        <f t="shared" ref="E156:N156" si="53">E$8</f>
        <v>FY2016</v>
      </c>
      <c r="F156" s="760" t="str">
        <f t="shared" si="53"/>
        <v>FY2017</v>
      </c>
      <c r="G156" s="760" t="str">
        <f t="shared" si="53"/>
        <v>FY2018</v>
      </c>
      <c r="H156" s="760" t="str">
        <f t="shared" si="53"/>
        <v>FY2019</v>
      </c>
      <c r="I156" s="760" t="str">
        <f t="shared" si="53"/>
        <v>FY2020</v>
      </c>
      <c r="J156" s="760" t="str">
        <f t="shared" si="53"/>
        <v>FY2021</v>
      </c>
      <c r="K156" s="760" t="str">
        <f t="shared" si="53"/>
        <v>FY2022</v>
      </c>
      <c r="L156" s="760" t="str">
        <f t="shared" si="53"/>
        <v>FY2023</v>
      </c>
      <c r="M156" s="760" t="str">
        <f t="shared" si="53"/>
        <v>FY2024</v>
      </c>
      <c r="N156" s="760" t="str">
        <f t="shared" si="53"/>
        <v>FY2025</v>
      </c>
      <c r="O156" s="483" t="s">
        <v>190</v>
      </c>
    </row>
    <row r="157" spans="1:15">
      <c r="A157" s="116">
        <v>4</v>
      </c>
      <c r="B157" s="432" t="str">
        <f>IF($C157="","",IFERROR('Comps'!B13,"DELETE"))</f>
        <v>Netflix, Inc.</v>
      </c>
      <c r="C157" s="13" t="str">
        <f>IF('Comps'!C13="","",'Comps'!C13)</f>
        <v>NasdaqGS:NFLX</v>
      </c>
      <c r="D157" s="577">
        <f>IFERROR(D49/D9,0)</f>
        <v>5.4297278963040249E-2</v>
      </c>
      <c r="E157" s="577">
        <f t="shared" ref="E157:N157" si="54">IFERROR(E49/E9,0)</f>
        <v>4.9522974986379857E-2</v>
      </c>
      <c r="F157" s="577">
        <f t="shared" si="54"/>
        <v>7.7876708339629994E-2</v>
      </c>
      <c r="G157" s="577">
        <f t="shared" si="54"/>
        <v>0.10689797060858697</v>
      </c>
      <c r="H157" s="577">
        <f t="shared" si="54"/>
        <v>0.13434078932661098</v>
      </c>
      <c r="I157" s="577">
        <f t="shared" si="54"/>
        <v>0.18806962986480746</v>
      </c>
      <c r="J157" s="577">
        <f t="shared" si="54"/>
        <v>0.21560221678045047</v>
      </c>
      <c r="K157" s="577">
        <f t="shared" si="54"/>
        <v>0.18881572517321382</v>
      </c>
      <c r="L157" s="577">
        <f t="shared" si="54"/>
        <v>0.21679226678221883</v>
      </c>
      <c r="M157" s="577">
        <f t="shared" si="54"/>
        <v>0.27554517495797415</v>
      </c>
      <c r="N157" s="577">
        <f t="shared" si="54"/>
        <v>0</v>
      </c>
      <c r="O157" s="575">
        <f t="shared" ref="O157:O171" si="55">IF($C157="","",IFERROR(AVERAGE(K157:M157),"NA"))</f>
        <v>0.22705105563780226</v>
      </c>
    </row>
    <row r="158" spans="1:15">
      <c r="A158" s="116">
        <v>5</v>
      </c>
      <c r="B158" s="432" t="str">
        <f>IF($C158="","",IFERROR('Comps'!B14,"DELETE"))</f>
        <v>Spotify Technology S.A.</v>
      </c>
      <c r="C158" s="13" t="str">
        <f>IF('Comps'!C14="","",'Comps'!C14)</f>
        <v>NYSE:SPOT</v>
      </c>
      <c r="D158" s="577">
        <f t="shared" ref="D158:N158" si="56">IFERROR(D50/D10,0)</f>
        <v>-0.10567010542864611</v>
      </c>
      <c r="E158" s="577">
        <f t="shared" si="56"/>
        <v>-0.10535230404699973</v>
      </c>
      <c r="F158" s="577">
        <f t="shared" si="56"/>
        <v>-7.9217603662062278E-2</v>
      </c>
      <c r="G158" s="577">
        <f t="shared" si="56"/>
        <v>-2.0916526662478952E-3</v>
      </c>
      <c r="H158" s="577">
        <f t="shared" si="56"/>
        <v>4.1395626275157974E-3</v>
      </c>
      <c r="I158" s="577">
        <f t="shared" si="56"/>
        <v>-2.3096446762911792E-2</v>
      </c>
      <c r="J158" s="577">
        <f t="shared" si="56"/>
        <v>2.2858915983080569E-2</v>
      </c>
      <c r="K158" s="577">
        <f t="shared" si="56"/>
        <v>-4.1613370883795395E-2</v>
      </c>
      <c r="L158" s="577">
        <f t="shared" si="56"/>
        <v>6.0391029957207432E-4</v>
      </c>
      <c r="M158" s="577">
        <f t="shared" si="56"/>
        <v>9.423849906774566E-2</v>
      </c>
      <c r="N158" s="577">
        <f t="shared" si="56"/>
        <v>0</v>
      </c>
      <c r="O158" s="575">
        <f t="shared" si="55"/>
        <v>1.7743012827840781E-2</v>
      </c>
    </row>
    <row r="159" spans="1:15">
      <c r="A159" s="116">
        <v>6</v>
      </c>
      <c r="B159" s="432" t="str">
        <f>IF($C159="","",IFERROR('Comps'!B15,"DELETE"))</f>
        <v>Roku, Inc.</v>
      </c>
      <c r="C159" s="13" t="str">
        <f>IF('Comps'!C15="","",'Comps'!C15)</f>
        <v>NasdaqGS:ROKU</v>
      </c>
      <c r="D159" s="577">
        <f t="shared" ref="D159:N159" si="57">IFERROR(D51/D11,0)</f>
        <v>-0.11035243874606462</v>
      </c>
      <c r="E159" s="577">
        <f t="shared" si="57"/>
        <v>-9.7225880411088456E-2</v>
      </c>
      <c r="F159" s="577">
        <f t="shared" si="57"/>
        <v>-3.0384407611313606E-2</v>
      </c>
      <c r="G159" s="577">
        <f t="shared" si="57"/>
        <v>-1.0110356010591161E-2</v>
      </c>
      <c r="H159" s="577">
        <f t="shared" si="57"/>
        <v>-4.2585796526063383E-2</v>
      </c>
      <c r="I159" s="577">
        <f t="shared" si="57"/>
        <v>2.1280507965640794E-2</v>
      </c>
      <c r="J159" s="577">
        <f t="shared" si="57"/>
        <v>0.13466438350218335</v>
      </c>
      <c r="K159" s="577">
        <f t="shared" si="57"/>
        <v>-6.7084509555949176E-2</v>
      </c>
      <c r="L159" s="577">
        <f t="shared" si="57"/>
        <v>-4.533752470499644E-2</v>
      </c>
      <c r="M159" s="577">
        <f t="shared" si="57"/>
        <v>1.9909562551757909E-2</v>
      </c>
      <c r="N159" s="577">
        <f t="shared" si="57"/>
        <v>0</v>
      </c>
      <c r="O159" s="575">
        <f t="shared" si="55"/>
        <v>-3.0837490569729235E-2</v>
      </c>
    </row>
    <row r="160" spans="1:15">
      <c r="A160" s="116">
        <v>7</v>
      </c>
      <c r="B160" s="432" t="str">
        <f>IF($C160="","",IFERROR('Comps'!B16,"DELETE"))</f>
        <v>Iqiyi, Inc.</v>
      </c>
      <c r="C160" s="13" t="str">
        <f>IF('Comps'!C16="","",'Comps'!C16)</f>
        <v>NasdaqGS:IQ</v>
      </c>
      <c r="D160" s="577">
        <f t="shared" ref="D160:N160" si="58">IFERROR(D52/D12,0)</f>
        <v>9.2640072483403127E-2</v>
      </c>
      <c r="E160" s="577">
        <f t="shared" si="58"/>
        <v>0.21731997408204279</v>
      </c>
      <c r="F160" s="577">
        <f t="shared" si="58"/>
        <v>0.29723719654145569</v>
      </c>
      <c r="G160" s="577">
        <f t="shared" si="58"/>
        <v>0.17640471925552395</v>
      </c>
      <c r="H160" s="577">
        <f t="shared" si="58"/>
        <v>0.17018597735272889</v>
      </c>
      <c r="I160" s="577">
        <f t="shared" si="58"/>
        <v>0.23684987024734894</v>
      </c>
      <c r="J160" s="577">
        <f t="shared" si="58"/>
        <v>0.21291489032091754</v>
      </c>
      <c r="K160" s="577">
        <f t="shared" si="58"/>
        <v>0.33365959213764507</v>
      </c>
      <c r="L160" s="577">
        <f t="shared" si="58"/>
        <v>0.3383749918053745</v>
      </c>
      <c r="M160" s="577">
        <f t="shared" si="58"/>
        <v>0.32980628041619164</v>
      </c>
      <c r="N160" s="577">
        <f t="shared" si="58"/>
        <v>0</v>
      </c>
      <c r="O160" s="575">
        <f t="shared" si="55"/>
        <v>0.33394695478640374</v>
      </c>
    </row>
    <row r="161" spans="1:15">
      <c r="A161" s="116">
        <v>8</v>
      </c>
      <c r="B161" s="432" t="str">
        <f>IF($C161="","",IFERROR('Comps'!B17,"DELETE"))</f>
        <v>Bilibili Inc.</v>
      </c>
      <c r="C161" s="13" t="str">
        <f>IF('Comps'!C17="","",'Comps'!C17)</f>
        <v>NasdaqGS:BILI</v>
      </c>
      <c r="D161" s="577">
        <f t="shared" ref="D161:N161" si="59">IFERROR(D53/D13,0)</f>
        <v>-2.4936413681057825</v>
      </c>
      <c r="E161" s="577">
        <f t="shared" si="59"/>
        <v>-1.4010796096697828</v>
      </c>
      <c r="F161" s="577">
        <f t="shared" si="59"/>
        <v>3.2460049459849705E-2</v>
      </c>
      <c r="G161" s="577">
        <f t="shared" si="59"/>
        <v>-2.0956514002883151E-2</v>
      </c>
      <c r="H161" s="577">
        <f t="shared" si="59"/>
        <v>-5.868731059124855E-2</v>
      </c>
      <c r="I161" s="577">
        <f t="shared" si="59"/>
        <v>-0.11828692870894894</v>
      </c>
      <c r="J161" s="577">
        <f t="shared" si="59"/>
        <v>-0.20570119684522201</v>
      </c>
      <c r="K161" s="577">
        <f t="shared" si="59"/>
        <v>-0.22928575281116864</v>
      </c>
      <c r="L161" s="577">
        <f t="shared" si="59"/>
        <v>-0.10359536377881783</v>
      </c>
      <c r="M161" s="577">
        <f t="shared" si="59"/>
        <v>3.6627288523746311E-2</v>
      </c>
      <c r="N161" s="577">
        <f t="shared" si="59"/>
        <v>0</v>
      </c>
      <c r="O161" s="575">
        <f t="shared" si="55"/>
        <v>-9.8751276022080059E-2</v>
      </c>
    </row>
    <row r="162" spans="1:15">
      <c r="A162" s="116">
        <v>9</v>
      </c>
      <c r="B162" s="432" t="str">
        <f>IF($C162="","",IFERROR('Comps'!B18,"DELETE"))</f>
        <v>The Walt Disney Company</v>
      </c>
      <c r="C162" s="13" t="str">
        <f>IF('Comps'!C18="","",'Comps'!C18)</f>
        <v>NYSE:DIS</v>
      </c>
      <c r="D162" s="577">
        <f t="shared" ref="D162:N162" si="60">IFERROR(D54/D14,0)</f>
        <v>0.2969217573620509</v>
      </c>
      <c r="E162" s="577">
        <f t="shared" si="60"/>
        <v>0.30583117630140927</v>
      </c>
      <c r="F162" s="577">
        <f t="shared" si="60"/>
        <v>0.3020657634619221</v>
      </c>
      <c r="G162" s="577">
        <f t="shared" si="60"/>
        <v>0.30029949187333849</v>
      </c>
      <c r="H162" s="577">
        <f t="shared" si="60"/>
        <v>0.23269211429884926</v>
      </c>
      <c r="I162" s="577">
        <f t="shared" si="60"/>
        <v>0.13956689300789135</v>
      </c>
      <c r="J162" s="577">
        <f t="shared" si="60"/>
        <v>0.12760687056869086</v>
      </c>
      <c r="K162" s="577">
        <f t="shared" si="60"/>
        <v>0.14500374749159836</v>
      </c>
      <c r="L162" s="577">
        <f t="shared" si="60"/>
        <v>0.16536929964678621</v>
      </c>
      <c r="M162" s="577">
        <f t="shared" si="60"/>
        <v>0.18944626262847386</v>
      </c>
      <c r="N162" s="577">
        <f t="shared" si="60"/>
        <v>0.20565528196981731</v>
      </c>
      <c r="O162" s="575">
        <f t="shared" si="55"/>
        <v>0.1666064365889528</v>
      </c>
    </row>
    <row r="163" spans="1:15">
      <c r="A163" s="116">
        <v>10</v>
      </c>
      <c r="B163" s="432" t="str">
        <f>IF($C163="","",IFERROR('Comps'!B19,"DELETE"))</f>
        <v>Warner Bros. Discovery, Inc.</v>
      </c>
      <c r="C163" s="13" t="str">
        <f>IF('Comps'!C19="","",'Comps'!C19)</f>
        <v>NasdaqGS:WBD</v>
      </c>
      <c r="D163" s="577">
        <f t="shared" ref="D163:N163" si="61">IFERROR(D55/D15,0)</f>
        <v>0.38192055051610885</v>
      </c>
      <c r="E163" s="577">
        <f t="shared" si="61"/>
        <v>0.37617361859319687</v>
      </c>
      <c r="F163" s="577">
        <f t="shared" si="61"/>
        <v>0.37247199185217517</v>
      </c>
      <c r="G163" s="577">
        <f t="shared" si="61"/>
        <v>0.3916421870558135</v>
      </c>
      <c r="H163" s="577">
        <f t="shared" si="61"/>
        <v>0.415470208183776</v>
      </c>
      <c r="I163" s="577">
        <f t="shared" si="61"/>
        <v>0.38824852403710991</v>
      </c>
      <c r="J163" s="577">
        <f t="shared" si="61"/>
        <v>0.2998113362316463</v>
      </c>
      <c r="K163" s="577">
        <f t="shared" si="61"/>
        <v>0.14616908655410002</v>
      </c>
      <c r="L163" s="577">
        <f t="shared" si="61"/>
        <v>0.17930350185135888</v>
      </c>
      <c r="M163" s="577">
        <f t="shared" si="61"/>
        <v>0.19508659494926375</v>
      </c>
      <c r="N163" s="577">
        <f t="shared" si="61"/>
        <v>0</v>
      </c>
      <c r="O163" s="575">
        <f t="shared" si="55"/>
        <v>0.17351972778490754</v>
      </c>
    </row>
    <row r="164" spans="1:15">
      <c r="A164" s="116">
        <v>11</v>
      </c>
      <c r="B164" s="432" t="str">
        <f>IF($C164="","",IFERROR('Comps'!B20,"DELETE"))</f>
        <v>Paramount Skydance Corporation</v>
      </c>
      <c r="C164" s="13" t="str">
        <f>IF('Comps'!C20="","",'Comps'!C20)</f>
        <v>NasdaqGS:PSKY</v>
      </c>
      <c r="D164" s="577">
        <f t="shared" ref="D164:N164" si="62">IFERROR(D56/D16,0)</f>
        <v>0.22089811380317259</v>
      </c>
      <c r="E164" s="577">
        <f t="shared" si="62"/>
        <v>0.23370803584991645</v>
      </c>
      <c r="F164" s="577">
        <f t="shared" si="62"/>
        <v>0.21857923497267759</v>
      </c>
      <c r="G164" s="577">
        <f t="shared" si="62"/>
        <v>0.22376537369914853</v>
      </c>
      <c r="H164" s="577">
        <f t="shared" si="62"/>
        <v>0.19608859915549301</v>
      </c>
      <c r="I164" s="577">
        <f t="shared" si="62"/>
        <v>0.20003954913980621</v>
      </c>
      <c r="J164" s="577">
        <f t="shared" si="62"/>
        <v>0.15360666060309242</v>
      </c>
      <c r="K164" s="577">
        <f t="shared" si="62"/>
        <v>0.10648670159846123</v>
      </c>
      <c r="L164" s="577">
        <f t="shared" si="62"/>
        <v>7.6655874814515038E-2</v>
      </c>
      <c r="M164" s="577">
        <f t="shared" si="62"/>
        <v>9.9852805257933108E-2</v>
      </c>
      <c r="N164" s="577">
        <f t="shared" si="62"/>
        <v>0</v>
      </c>
      <c r="O164" s="575">
        <f t="shared" si="55"/>
        <v>9.433179389030312E-2</v>
      </c>
    </row>
    <row r="165" spans="1:15">
      <c r="A165" s="116">
        <v>12</v>
      </c>
      <c r="B165" s="432" t="str">
        <f>IF($C165="","",IFERROR('Comps'!B21,"DELETE"))</f>
        <v>Comcast Corporation</v>
      </c>
      <c r="C165" s="13" t="str">
        <f>IF('Comps'!C21="","",'Comps'!C21)</f>
        <v>NasdaqGS:CMCSA</v>
      </c>
      <c r="D165" s="577">
        <f t="shared" ref="D165:N165" si="63">IFERROR(D57/D17,0)</f>
        <v>0.33120386525298617</v>
      </c>
      <c r="E165" s="577">
        <f t="shared" si="63"/>
        <v>0.32597602061038444</v>
      </c>
      <c r="F165" s="577">
        <f t="shared" si="63"/>
        <v>0.32584177163085537</v>
      </c>
      <c r="G165" s="577">
        <f t="shared" si="63"/>
        <v>0.31918270604293864</v>
      </c>
      <c r="H165" s="577">
        <f t="shared" si="63"/>
        <v>0.31280865047456446</v>
      </c>
      <c r="I165" s="577">
        <f t="shared" si="63"/>
        <v>0.29540187710015064</v>
      </c>
      <c r="J165" s="577">
        <f t="shared" si="63"/>
        <v>0.29746960518967219</v>
      </c>
      <c r="K165" s="577">
        <f t="shared" si="63"/>
        <v>0.30013917827171882</v>
      </c>
      <c r="L165" s="577">
        <f t="shared" si="63"/>
        <v>0.30968479584114761</v>
      </c>
      <c r="M165" s="577">
        <f t="shared" si="63"/>
        <v>0.30792606541610429</v>
      </c>
      <c r="N165" s="577">
        <f t="shared" si="63"/>
        <v>0</v>
      </c>
      <c r="O165" s="575">
        <f t="shared" si="55"/>
        <v>0.3059166798429902</v>
      </c>
    </row>
    <row r="166" spans="1:15">
      <c r="A166" s="116">
        <v>13</v>
      </c>
      <c r="B166" s="432" t="str">
        <f>IF($C166="","",IFERROR('Comps'!B22,"DELETE"))</f>
        <v/>
      </c>
      <c r="C166" s="13" t="str">
        <f>IF('Comps'!C22="","",'Comps'!C22)</f>
        <v/>
      </c>
      <c r="D166" s="577">
        <f t="shared" ref="D166:N166" si="64">IFERROR(D58/D18,0)</f>
        <v>0</v>
      </c>
      <c r="E166" s="577">
        <f t="shared" si="64"/>
        <v>0</v>
      </c>
      <c r="F166" s="577">
        <f t="shared" si="64"/>
        <v>0</v>
      </c>
      <c r="G166" s="577">
        <f t="shared" si="64"/>
        <v>0</v>
      </c>
      <c r="H166" s="577">
        <f t="shared" si="64"/>
        <v>0</v>
      </c>
      <c r="I166" s="577">
        <f t="shared" si="64"/>
        <v>0</v>
      </c>
      <c r="J166" s="577">
        <f t="shared" si="64"/>
        <v>0</v>
      </c>
      <c r="K166" s="577">
        <f t="shared" si="64"/>
        <v>0</v>
      </c>
      <c r="L166" s="577">
        <f t="shared" si="64"/>
        <v>0</v>
      </c>
      <c r="M166" s="577">
        <f t="shared" si="64"/>
        <v>0</v>
      </c>
      <c r="N166" s="577">
        <f t="shared" si="64"/>
        <v>0</v>
      </c>
      <c r="O166" s="575" t="str">
        <f t="shared" si="55"/>
        <v/>
      </c>
    </row>
    <row r="167" spans="1:15">
      <c r="A167" s="116">
        <v>14</v>
      </c>
      <c r="B167" s="432" t="str">
        <f>IF($C167="","",IFERROR('Comps'!B23,"DELETE"))</f>
        <v/>
      </c>
      <c r="C167" s="13" t="str">
        <f>IF('Comps'!C23="","",'Comps'!C23)</f>
        <v/>
      </c>
      <c r="D167" s="577">
        <f t="shared" ref="D167:N167" si="65">IFERROR(D59/D19,0)</f>
        <v>0</v>
      </c>
      <c r="E167" s="577">
        <f t="shared" si="65"/>
        <v>0</v>
      </c>
      <c r="F167" s="577">
        <f t="shared" si="65"/>
        <v>0</v>
      </c>
      <c r="G167" s="577">
        <f t="shared" si="65"/>
        <v>0</v>
      </c>
      <c r="H167" s="577">
        <f t="shared" si="65"/>
        <v>0</v>
      </c>
      <c r="I167" s="577">
        <f t="shared" si="65"/>
        <v>0</v>
      </c>
      <c r="J167" s="577">
        <f t="shared" si="65"/>
        <v>0</v>
      </c>
      <c r="K167" s="577">
        <f t="shared" si="65"/>
        <v>0</v>
      </c>
      <c r="L167" s="577">
        <f t="shared" si="65"/>
        <v>0</v>
      </c>
      <c r="M167" s="577">
        <f t="shared" si="65"/>
        <v>0</v>
      </c>
      <c r="N167" s="577">
        <f t="shared" si="65"/>
        <v>0</v>
      </c>
      <c r="O167" s="575" t="str">
        <f t="shared" si="55"/>
        <v/>
      </c>
    </row>
    <row r="168" spans="1:15">
      <c r="A168" s="116">
        <v>15</v>
      </c>
      <c r="B168" s="432" t="str">
        <f>IF($C168="","",IFERROR('Comps'!B24,"DELETE"))</f>
        <v/>
      </c>
      <c r="C168" s="13" t="str">
        <f>IF('Comps'!C24="","",'Comps'!C24)</f>
        <v/>
      </c>
      <c r="D168" s="577">
        <f t="shared" ref="D168:N168" si="66">IFERROR(D60/D20,0)</f>
        <v>0</v>
      </c>
      <c r="E168" s="577">
        <f t="shared" si="66"/>
        <v>0</v>
      </c>
      <c r="F168" s="577">
        <f t="shared" si="66"/>
        <v>0</v>
      </c>
      <c r="G168" s="577">
        <f t="shared" si="66"/>
        <v>0</v>
      </c>
      <c r="H168" s="577">
        <f t="shared" si="66"/>
        <v>0</v>
      </c>
      <c r="I168" s="577">
        <f t="shared" si="66"/>
        <v>0</v>
      </c>
      <c r="J168" s="577">
        <f t="shared" si="66"/>
        <v>0</v>
      </c>
      <c r="K168" s="577">
        <f t="shared" si="66"/>
        <v>0</v>
      </c>
      <c r="L168" s="577">
        <f t="shared" si="66"/>
        <v>0</v>
      </c>
      <c r="M168" s="577">
        <f t="shared" si="66"/>
        <v>0</v>
      </c>
      <c r="N168" s="577">
        <f t="shared" si="66"/>
        <v>0</v>
      </c>
      <c r="O168" s="575" t="str">
        <f t="shared" si="55"/>
        <v/>
      </c>
    </row>
    <row r="169" spans="1:15">
      <c r="A169" s="116">
        <v>16</v>
      </c>
      <c r="B169" s="432" t="str">
        <f>IF($C169="","",IFERROR('Comps'!B25,"DELETE"))</f>
        <v/>
      </c>
      <c r="C169" s="13" t="str">
        <f>IF('Comps'!C25="","",'Comps'!C25)</f>
        <v/>
      </c>
      <c r="D169" s="577">
        <f t="shared" ref="D169:N169" si="67">IFERROR(D61/D21,0)</f>
        <v>0</v>
      </c>
      <c r="E169" s="577">
        <f t="shared" si="67"/>
        <v>0</v>
      </c>
      <c r="F169" s="577">
        <f t="shared" si="67"/>
        <v>0</v>
      </c>
      <c r="G169" s="577">
        <f t="shared" si="67"/>
        <v>0</v>
      </c>
      <c r="H169" s="577">
        <f t="shared" si="67"/>
        <v>0</v>
      </c>
      <c r="I169" s="577">
        <f t="shared" si="67"/>
        <v>0</v>
      </c>
      <c r="J169" s="577">
        <f t="shared" si="67"/>
        <v>0</v>
      </c>
      <c r="K169" s="577">
        <f t="shared" si="67"/>
        <v>0</v>
      </c>
      <c r="L169" s="577">
        <f t="shared" si="67"/>
        <v>0</v>
      </c>
      <c r="M169" s="577">
        <f t="shared" si="67"/>
        <v>0</v>
      </c>
      <c r="N169" s="577">
        <f t="shared" si="67"/>
        <v>0</v>
      </c>
      <c r="O169" s="575" t="str">
        <f t="shared" si="55"/>
        <v/>
      </c>
    </row>
    <row r="170" spans="1:15">
      <c r="A170" s="116">
        <v>17</v>
      </c>
      <c r="B170" s="432" t="str">
        <f>IF($C170="","",IFERROR('Comps'!B26,"DELETE"))</f>
        <v/>
      </c>
      <c r="C170" s="13" t="str">
        <f>IF('Comps'!C26="","",'Comps'!C26)</f>
        <v/>
      </c>
      <c r="D170" s="577">
        <f t="shared" ref="D170:N170" si="68">IFERROR(D62/D22,0)</f>
        <v>0</v>
      </c>
      <c r="E170" s="577">
        <f t="shared" si="68"/>
        <v>0</v>
      </c>
      <c r="F170" s="577">
        <f t="shared" si="68"/>
        <v>0</v>
      </c>
      <c r="G170" s="577">
        <f t="shared" si="68"/>
        <v>0</v>
      </c>
      <c r="H170" s="577">
        <f t="shared" si="68"/>
        <v>0</v>
      </c>
      <c r="I170" s="577">
        <f t="shared" si="68"/>
        <v>0</v>
      </c>
      <c r="J170" s="577">
        <f t="shared" si="68"/>
        <v>0</v>
      </c>
      <c r="K170" s="577">
        <f t="shared" si="68"/>
        <v>0</v>
      </c>
      <c r="L170" s="577">
        <f t="shared" si="68"/>
        <v>0</v>
      </c>
      <c r="M170" s="577">
        <f t="shared" si="68"/>
        <v>0</v>
      </c>
      <c r="N170" s="577">
        <f t="shared" si="68"/>
        <v>0</v>
      </c>
      <c r="O170" s="575" t="str">
        <f t="shared" si="55"/>
        <v/>
      </c>
    </row>
    <row r="171" spans="1:15">
      <c r="A171" s="116">
        <v>18</v>
      </c>
      <c r="B171" s="432" t="str">
        <f>IF($C171="","",IFERROR('Comps'!B27,"DELETE"))</f>
        <v/>
      </c>
      <c r="C171" s="13" t="str">
        <f>IF('Comps'!C27="","",'Comps'!C27)</f>
        <v/>
      </c>
      <c r="D171" s="577">
        <f t="shared" ref="D171:N171" si="69">IFERROR(D63/D23,0)</f>
        <v>0</v>
      </c>
      <c r="E171" s="577">
        <f t="shared" si="69"/>
        <v>0</v>
      </c>
      <c r="F171" s="577">
        <f t="shared" si="69"/>
        <v>0</v>
      </c>
      <c r="G171" s="577">
        <f t="shared" si="69"/>
        <v>0</v>
      </c>
      <c r="H171" s="577">
        <f t="shared" si="69"/>
        <v>0</v>
      </c>
      <c r="I171" s="577">
        <f t="shared" si="69"/>
        <v>0</v>
      </c>
      <c r="J171" s="577">
        <f t="shared" si="69"/>
        <v>0</v>
      </c>
      <c r="K171" s="577">
        <f t="shared" si="69"/>
        <v>0</v>
      </c>
      <c r="L171" s="577">
        <f t="shared" si="69"/>
        <v>0</v>
      </c>
      <c r="M171" s="577">
        <f t="shared" si="69"/>
        <v>0</v>
      </c>
      <c r="N171" s="577">
        <f t="shared" si="69"/>
        <v>0</v>
      </c>
      <c r="O171" s="575" t="str">
        <f t="shared" si="55"/>
        <v/>
      </c>
    </row>
    <row r="172" spans="1:15" ht="4.4000000000000004" customHeight="1" thickBot="1">
      <c r="A172" s="116">
        <v>19</v>
      </c>
      <c r="B172" s="352"/>
      <c r="C172" s="353"/>
      <c r="D172" s="355"/>
      <c r="E172" s="355"/>
      <c r="F172" s="355"/>
      <c r="G172" s="355"/>
      <c r="H172" s="355"/>
      <c r="I172" s="355"/>
      <c r="J172" s="355"/>
      <c r="K172" s="355"/>
      <c r="L172" s="355"/>
      <c r="M172" s="355"/>
      <c r="N172" s="355"/>
      <c r="O172" s="356"/>
    </row>
    <row r="173" spans="1:15">
      <c r="A173" s="116">
        <v>20</v>
      </c>
      <c r="B173" s="665" t="s">
        <v>324</v>
      </c>
      <c r="D173" s="105"/>
      <c r="E173" s="105"/>
      <c r="F173" s="105"/>
      <c r="G173" s="105"/>
      <c r="H173" s="105"/>
      <c r="I173" s="105"/>
      <c r="J173" s="105"/>
      <c r="K173" s="105"/>
      <c r="L173" s="105"/>
      <c r="M173" s="105"/>
      <c r="N173" s="105"/>
      <c r="O173" s="104"/>
    </row>
    <row r="174" spans="1:15">
      <c r="A174" s="116">
        <v>21</v>
      </c>
      <c r="B174" t="s">
        <v>176</v>
      </c>
      <c r="D174" s="579">
        <f>MAX(D157:D172)</f>
        <v>0.38192055051610885</v>
      </c>
      <c r="E174" s="579">
        <f t="shared" ref="E174:H174" si="70">MAX(E157:E172)</f>
        <v>0.37617361859319687</v>
      </c>
      <c r="F174" s="579">
        <f t="shared" si="70"/>
        <v>0.37247199185217517</v>
      </c>
      <c r="G174" s="579">
        <f t="shared" si="70"/>
        <v>0.3916421870558135</v>
      </c>
      <c r="H174" s="579">
        <f t="shared" si="70"/>
        <v>0.415470208183776</v>
      </c>
      <c r="I174" s="579">
        <f>MAX(I157:I172)</f>
        <v>0.38824852403710991</v>
      </c>
      <c r="J174" s="579">
        <f t="shared" ref="J174:N174" si="71">MAX(J157:J172)</f>
        <v>0.2998113362316463</v>
      </c>
      <c r="K174" s="579">
        <f t="shared" si="71"/>
        <v>0.33365959213764507</v>
      </c>
      <c r="L174" s="579">
        <f t="shared" si="71"/>
        <v>0.3383749918053745</v>
      </c>
      <c r="M174" s="579">
        <f t="shared" si="71"/>
        <v>0.32980628041619164</v>
      </c>
      <c r="N174" s="579">
        <f t="shared" si="71"/>
        <v>0.20565528196981731</v>
      </c>
    </row>
    <row r="175" spans="1:15">
      <c r="A175" s="116">
        <v>22</v>
      </c>
      <c r="B175" t="s">
        <v>175</v>
      </c>
      <c r="D175" s="579">
        <f t="shared" ref="D175:N175" si="72">MIN(D157:D172)</f>
        <v>-2.4936413681057825</v>
      </c>
      <c r="E175" s="579">
        <f t="shared" si="72"/>
        <v>-1.4010796096697828</v>
      </c>
      <c r="F175" s="579">
        <f t="shared" si="72"/>
        <v>-7.9217603662062278E-2</v>
      </c>
      <c r="G175" s="579">
        <f t="shared" si="72"/>
        <v>-2.0956514002883151E-2</v>
      </c>
      <c r="H175" s="579">
        <f t="shared" si="72"/>
        <v>-5.868731059124855E-2</v>
      </c>
      <c r="I175" s="579">
        <f t="shared" si="72"/>
        <v>-0.11828692870894894</v>
      </c>
      <c r="J175" s="579">
        <f t="shared" si="72"/>
        <v>-0.20570119684522201</v>
      </c>
      <c r="K175" s="579">
        <f t="shared" si="72"/>
        <v>-0.22928575281116864</v>
      </c>
      <c r="L175" s="579">
        <f t="shared" si="72"/>
        <v>-0.10359536377881783</v>
      </c>
      <c r="M175" s="579">
        <f t="shared" si="72"/>
        <v>0</v>
      </c>
      <c r="N175" s="579">
        <f t="shared" si="72"/>
        <v>0</v>
      </c>
    </row>
    <row r="176" spans="1:15">
      <c r="A176" s="116"/>
      <c r="D176" s="579"/>
      <c r="E176" s="579"/>
      <c r="F176" s="579"/>
      <c r="G176" s="579"/>
      <c r="H176" s="579"/>
      <c r="I176" s="579"/>
      <c r="J176" s="579"/>
      <c r="K176" s="579"/>
      <c r="L176" s="579"/>
      <c r="M176" s="579"/>
      <c r="N176" s="579"/>
    </row>
    <row r="177" spans="1:15">
      <c r="D177" s="105"/>
      <c r="E177" s="105"/>
      <c r="F177" s="105"/>
      <c r="G177" s="105"/>
      <c r="H177" s="105"/>
      <c r="I177" s="105"/>
      <c r="J177" s="105"/>
      <c r="K177" s="105"/>
      <c r="L177" s="105"/>
      <c r="M177" s="105"/>
      <c r="N177" s="105"/>
    </row>
    <row r="178" spans="1:15">
      <c r="A178" s="116">
        <v>1</v>
      </c>
      <c r="D178" s="578" t="str">
        <f t="shared" ref="D178:M178" si="73">"FY"&amp;RIGHT(D180,2)</f>
        <v>FY15</v>
      </c>
      <c r="E178" s="578" t="str">
        <f t="shared" si="73"/>
        <v>FY16</v>
      </c>
      <c r="F178" s="578" t="str">
        <f t="shared" si="73"/>
        <v>FY17</v>
      </c>
      <c r="G178" s="578" t="str">
        <f t="shared" si="73"/>
        <v>FY18</v>
      </c>
      <c r="H178" s="578" t="str">
        <f t="shared" si="73"/>
        <v>FY19</v>
      </c>
      <c r="I178" s="578" t="str">
        <f t="shared" si="73"/>
        <v>FY20</v>
      </c>
      <c r="J178" s="578" t="str">
        <f t="shared" si="73"/>
        <v>FY21</v>
      </c>
      <c r="K178" s="578" t="str">
        <f t="shared" si="73"/>
        <v>FY22</v>
      </c>
      <c r="L178" s="578" t="str">
        <f t="shared" si="73"/>
        <v>FY23</v>
      </c>
      <c r="M178" s="578" t="str">
        <f t="shared" si="73"/>
        <v>FY24</v>
      </c>
      <c r="N178" s="578" t="str">
        <f>"FY"&amp;RIGHT(N180,2)</f>
        <v>FY25</v>
      </c>
    </row>
    <row r="179" spans="1:15" ht="10.5">
      <c r="A179" s="116">
        <v>2</v>
      </c>
      <c r="B179" s="666" t="s">
        <v>94</v>
      </c>
      <c r="C179" s="666"/>
      <c r="D179" s="667"/>
      <c r="E179" s="667"/>
      <c r="F179" s="667"/>
      <c r="G179" s="667"/>
      <c r="H179" s="667"/>
      <c r="I179" s="667"/>
      <c r="J179" s="667"/>
      <c r="K179" s="667"/>
      <c r="L179" s="667"/>
      <c r="M179" s="667"/>
      <c r="N179" s="667"/>
      <c r="O179" s="666"/>
    </row>
    <row r="180" spans="1:15" ht="10.5">
      <c r="A180" s="116">
        <v>3</v>
      </c>
      <c r="B180" s="418" t="s">
        <v>290</v>
      </c>
      <c r="C180" s="419" t="s">
        <v>123</v>
      </c>
      <c r="D180" s="760" t="str">
        <f>D$8</f>
        <v>FY2015</v>
      </c>
      <c r="E180" s="760" t="str">
        <f t="shared" ref="E180:N180" si="74">E$8</f>
        <v>FY2016</v>
      </c>
      <c r="F180" s="760" t="str">
        <f t="shared" si="74"/>
        <v>FY2017</v>
      </c>
      <c r="G180" s="760" t="str">
        <f t="shared" si="74"/>
        <v>FY2018</v>
      </c>
      <c r="H180" s="760" t="str">
        <f t="shared" si="74"/>
        <v>FY2019</v>
      </c>
      <c r="I180" s="760" t="str">
        <f t="shared" si="74"/>
        <v>FY2020</v>
      </c>
      <c r="J180" s="760" t="str">
        <f t="shared" si="74"/>
        <v>FY2021</v>
      </c>
      <c r="K180" s="760" t="str">
        <f t="shared" si="74"/>
        <v>FY2022</v>
      </c>
      <c r="L180" s="760" t="str">
        <f t="shared" si="74"/>
        <v>FY2023</v>
      </c>
      <c r="M180" s="760" t="str">
        <f t="shared" si="74"/>
        <v>FY2024</v>
      </c>
      <c r="N180" s="760" t="str">
        <f t="shared" si="74"/>
        <v>FY2025</v>
      </c>
      <c r="O180" s="483" t="s">
        <v>190</v>
      </c>
    </row>
    <row r="181" spans="1:15">
      <c r="A181" s="116">
        <v>4</v>
      </c>
      <c r="B181" s="432" t="str">
        <f>IF($C181="","",IFERROR('Comps'!B13,"DELETE"))</f>
        <v>Netflix, Inc.</v>
      </c>
      <c r="C181" s="13" t="str">
        <f>IF('Comps'!C13="","",'Comps'!C13)</f>
        <v>NasdaqGS:NFLX</v>
      </c>
      <c r="D181" s="576">
        <v>0</v>
      </c>
      <c r="E181" s="576">
        <v>0</v>
      </c>
      <c r="F181" s="576">
        <v>0</v>
      </c>
      <c r="G181" s="576">
        <v>0</v>
      </c>
      <c r="H181" s="576">
        <v>0</v>
      </c>
      <c r="I181" s="576">
        <v>0</v>
      </c>
      <c r="J181" s="576">
        <v>0</v>
      </c>
      <c r="K181" s="576">
        <v>0</v>
      </c>
      <c r="L181" s="576">
        <v>0</v>
      </c>
      <c r="M181" s="576">
        <v>0</v>
      </c>
      <c r="N181" s="576">
        <v>0</v>
      </c>
      <c r="O181" s="761">
        <f>IF($C181="","",IFERROR(AVERAGE(K181:M181),"NA"))</f>
        <v>0</v>
      </c>
    </row>
    <row r="182" spans="1:15">
      <c r="A182" s="116">
        <v>5</v>
      </c>
      <c r="B182" s="432" t="str">
        <f>IF($C182="","",IFERROR('Comps'!B14,"DELETE"))</f>
        <v>Spotify Technology S.A.</v>
      </c>
      <c r="C182" s="13" t="str">
        <f>IF('Comps'!C14="","",'Comps'!C14)</f>
        <v>NYSE:SPOT</v>
      </c>
      <c r="D182" s="576">
        <v>0</v>
      </c>
      <c r="E182" s="576">
        <v>0</v>
      </c>
      <c r="F182" s="576">
        <v>0</v>
      </c>
      <c r="G182" s="576">
        <v>0</v>
      </c>
      <c r="H182" s="576">
        <v>0</v>
      </c>
      <c r="I182" s="576">
        <v>0</v>
      </c>
      <c r="J182" s="576">
        <v>0</v>
      </c>
      <c r="K182" s="576">
        <v>0</v>
      </c>
      <c r="L182" s="576">
        <v>0</v>
      </c>
      <c r="M182" s="576">
        <v>0</v>
      </c>
      <c r="N182" s="576">
        <v>0</v>
      </c>
      <c r="O182" s="761">
        <f t="shared" ref="O182:O195" si="75">IF($C182="","",IFERROR(AVERAGE(K182:M182),"NA"))</f>
        <v>0</v>
      </c>
    </row>
    <row r="183" spans="1:15">
      <c r="A183" s="116">
        <v>6</v>
      </c>
      <c r="B183" s="432" t="str">
        <f>IF($C183="","",IFERROR('Comps'!B15,"DELETE"))</f>
        <v>Roku, Inc.</v>
      </c>
      <c r="C183" s="13" t="str">
        <f>IF('Comps'!C15="","",'Comps'!C15)</f>
        <v>NasdaqGS:ROKU</v>
      </c>
      <c r="D183" s="576">
        <v>0</v>
      </c>
      <c r="E183" s="576">
        <v>49.36786</v>
      </c>
      <c r="F183" s="576">
        <v>44.502630000000003</v>
      </c>
      <c r="G183" s="576">
        <v>30.38625</v>
      </c>
      <c r="H183" s="576">
        <v>24.56523</v>
      </c>
      <c r="I183" s="576">
        <v>19.543299999999999</v>
      </c>
      <c r="J183" s="576">
        <v>14.020020000000001</v>
      </c>
      <c r="K183" s="576">
        <v>17.00243</v>
      </c>
      <c r="L183" s="576">
        <v>19.186589999999999</v>
      </c>
      <c r="M183" s="576">
        <v>19.86026</v>
      </c>
      <c r="N183" s="576">
        <v>0</v>
      </c>
      <c r="O183" s="761">
        <f t="shared" si="75"/>
        <v>18.683093333333332</v>
      </c>
    </row>
    <row r="184" spans="1:15">
      <c r="A184" s="116">
        <v>7</v>
      </c>
      <c r="B184" s="432" t="str">
        <f>IF($C184="","",IFERROR('Comps'!B16,"DELETE"))</f>
        <v>Iqiyi, Inc.</v>
      </c>
      <c r="C184" s="13" t="str">
        <f>IF('Comps'!C16="","",'Comps'!C16)</f>
        <v>NasdaqGS:IQ</v>
      </c>
      <c r="D184" s="576">
        <v>0</v>
      </c>
      <c r="E184" s="576">
        <v>0</v>
      </c>
      <c r="F184" s="576">
        <v>0</v>
      </c>
      <c r="G184" s="576">
        <v>0</v>
      </c>
      <c r="H184" s="576">
        <v>0</v>
      </c>
      <c r="I184" s="576">
        <v>0</v>
      </c>
      <c r="J184" s="576">
        <v>0</v>
      </c>
      <c r="K184" s="576">
        <v>0</v>
      </c>
      <c r="L184" s="576">
        <v>0</v>
      </c>
      <c r="M184" s="576">
        <v>0</v>
      </c>
      <c r="N184" s="576">
        <v>0</v>
      </c>
      <c r="O184" s="761">
        <f t="shared" si="75"/>
        <v>0</v>
      </c>
    </row>
    <row r="185" spans="1:15">
      <c r="A185" s="116">
        <v>8</v>
      </c>
      <c r="B185" s="432" t="str">
        <f>IF($C185="","",IFERROR('Comps'!B17,"DELETE"))</f>
        <v>Bilibili Inc.</v>
      </c>
      <c r="C185" s="13" t="str">
        <f>IF('Comps'!C17="","",'Comps'!C17)</f>
        <v>NasdaqGS:BILI</v>
      </c>
      <c r="D185" s="576">
        <v>0</v>
      </c>
      <c r="E185" s="576">
        <v>1.8512299999999999</v>
      </c>
      <c r="F185" s="576">
        <v>1.5855600000000001</v>
      </c>
      <c r="G185" s="576">
        <v>4.3434999999999997</v>
      </c>
      <c r="H185" s="576">
        <v>4.79793</v>
      </c>
      <c r="I185" s="576">
        <v>5.1737799999999998</v>
      </c>
      <c r="J185" s="576">
        <v>8.6902899999999992</v>
      </c>
      <c r="K185" s="576">
        <v>10.763489999999999</v>
      </c>
      <c r="L185" s="576">
        <v>8.0646799999999992</v>
      </c>
      <c r="M185" s="576">
        <v>5.4292400000000001</v>
      </c>
      <c r="N185" s="576">
        <v>0</v>
      </c>
      <c r="O185" s="761">
        <f t="shared" si="75"/>
        <v>8.0858033333333328</v>
      </c>
    </row>
    <row r="186" spans="1:15">
      <c r="A186" s="116">
        <v>9</v>
      </c>
      <c r="B186" s="432" t="str">
        <f>IF($C186="","",IFERROR('Comps'!B18,"DELETE"))</f>
        <v>The Walt Disney Company</v>
      </c>
      <c r="C186" s="13" t="str">
        <f>IF('Comps'!C18="","",'Comps'!C18)</f>
        <v>NYSE:DIS</v>
      </c>
      <c r="D186" s="576">
        <v>35.158929999999998</v>
      </c>
      <c r="E186" s="576">
        <v>32.537230000000001</v>
      </c>
      <c r="F186" s="576">
        <v>31.522400000000001</v>
      </c>
      <c r="G186" s="576">
        <v>29.79194</v>
      </c>
      <c r="H186" s="576">
        <v>38.735419999999998</v>
      </c>
      <c r="I186" s="576">
        <v>42.274340000000002</v>
      </c>
      <c r="J186" s="576">
        <v>29.309640000000002</v>
      </c>
      <c r="K186" s="576">
        <v>23.906790000000001</v>
      </c>
      <c r="L186" s="576">
        <v>26.429310000000001</v>
      </c>
      <c r="M186" s="576">
        <v>28.165959999999998</v>
      </c>
      <c r="N186" s="576">
        <v>25.754819999999999</v>
      </c>
      <c r="O186" s="761">
        <f t="shared" si="75"/>
        <v>26.167353333333335</v>
      </c>
    </row>
    <row r="187" spans="1:15">
      <c r="A187" s="116">
        <v>10</v>
      </c>
      <c r="B187" s="432" t="str">
        <f>IF($C187="","",IFERROR('Comps'!B19,"DELETE"))</f>
        <v>Warner Bros. Discovery, Inc.</v>
      </c>
      <c r="C187" s="13" t="str">
        <f>IF('Comps'!C19="","",'Comps'!C19)</f>
        <v>NasdaqGS:WBD</v>
      </c>
      <c r="D187" s="576">
        <v>0</v>
      </c>
      <c r="E187" s="576">
        <v>0</v>
      </c>
      <c r="F187" s="576">
        <v>0</v>
      </c>
      <c r="G187" s="576">
        <v>0</v>
      </c>
      <c r="H187" s="576">
        <v>0</v>
      </c>
      <c r="I187" s="576">
        <v>0</v>
      </c>
      <c r="J187" s="576">
        <v>0</v>
      </c>
      <c r="K187" s="576">
        <v>0</v>
      </c>
      <c r="L187" s="576">
        <v>0</v>
      </c>
      <c r="M187" s="576">
        <v>0</v>
      </c>
      <c r="N187" s="576">
        <v>0</v>
      </c>
      <c r="O187" s="761">
        <f t="shared" si="75"/>
        <v>0</v>
      </c>
    </row>
    <row r="188" spans="1:15">
      <c r="A188" s="116">
        <v>11</v>
      </c>
      <c r="B188" s="432" t="str">
        <f>IF($C188="","",IFERROR('Comps'!B20,"DELETE"))</f>
        <v>Paramount Skydance Corporation</v>
      </c>
      <c r="C188" s="13" t="str">
        <f>IF('Comps'!C20="","",'Comps'!C20)</f>
        <v>NasdaqGS:PSKY</v>
      </c>
      <c r="D188" s="576">
        <v>50.56747</v>
      </c>
      <c r="E188" s="576">
        <v>62.034799999999997</v>
      </c>
      <c r="F188" s="576">
        <v>38.366979999999998</v>
      </c>
      <c r="G188" s="576">
        <v>54.670430000000003</v>
      </c>
      <c r="H188" s="576">
        <v>63.361080000000001</v>
      </c>
      <c r="I188" s="576">
        <v>56.381570000000004</v>
      </c>
      <c r="J188" s="576">
        <v>33.539850000000001</v>
      </c>
      <c r="K188" s="576">
        <v>26.172329999999999</v>
      </c>
      <c r="L188" s="576">
        <v>25.12697</v>
      </c>
      <c r="M188" s="576">
        <v>26.766680000000001</v>
      </c>
      <c r="N188" s="576">
        <v>0</v>
      </c>
      <c r="O188" s="761">
        <f t="shared" si="75"/>
        <v>26.021993333333331</v>
      </c>
    </row>
    <row r="189" spans="1:15">
      <c r="A189" s="116">
        <v>12</v>
      </c>
      <c r="B189" s="432" t="str">
        <f>IF($C189="","",IFERROR('Comps'!B21,"DELETE"))</f>
        <v>Comcast Corporation</v>
      </c>
      <c r="C189" s="13" t="str">
        <f>IF('Comps'!C21="","",'Comps'!C21)</f>
        <v>NasdaqGS:CMCSA</v>
      </c>
      <c r="D189" s="576">
        <v>0</v>
      </c>
      <c r="E189" s="576">
        <v>0</v>
      </c>
      <c r="F189" s="576">
        <v>0</v>
      </c>
      <c r="G189" s="576">
        <v>0</v>
      </c>
      <c r="H189" s="576">
        <v>0</v>
      </c>
      <c r="I189" s="576">
        <v>0</v>
      </c>
      <c r="J189" s="576">
        <v>0</v>
      </c>
      <c r="K189" s="576">
        <v>0</v>
      </c>
      <c r="L189" s="576">
        <v>0</v>
      </c>
      <c r="M189" s="576">
        <v>0</v>
      </c>
      <c r="N189" s="576">
        <v>0</v>
      </c>
      <c r="O189" s="761">
        <f t="shared" si="75"/>
        <v>0</v>
      </c>
    </row>
    <row r="190" spans="1:15">
      <c r="A190" s="116">
        <v>13</v>
      </c>
      <c r="B190" s="432" t="str">
        <f>IF($C190="","",IFERROR('Comps'!B22,"DELETE"))</f>
        <v/>
      </c>
      <c r="C190" s="13" t="str">
        <f>IF('Comps'!C22="","",'Comps'!C22)</f>
        <v/>
      </c>
      <c r="D190" s="576"/>
      <c r="E190" s="576"/>
      <c r="F190" s="576"/>
      <c r="G190" s="576"/>
      <c r="H190" s="576"/>
      <c r="I190" s="576"/>
      <c r="J190" s="576"/>
      <c r="K190" s="576"/>
      <c r="L190" s="576"/>
      <c r="M190" s="576"/>
      <c r="N190" s="576"/>
      <c r="O190" s="761" t="str">
        <f t="shared" si="75"/>
        <v/>
      </c>
    </row>
    <row r="191" spans="1:15">
      <c r="A191" s="116">
        <v>14</v>
      </c>
      <c r="B191" s="432" t="str">
        <f>IF($C191="","",IFERROR('Comps'!B23,"DELETE"))</f>
        <v/>
      </c>
      <c r="C191" s="13" t="str">
        <f>IF('Comps'!C23="","",'Comps'!C23)</f>
        <v/>
      </c>
      <c r="D191" s="576"/>
      <c r="E191" s="576"/>
      <c r="F191" s="576"/>
      <c r="G191" s="576"/>
      <c r="H191" s="576"/>
      <c r="I191" s="576"/>
      <c r="J191" s="576"/>
      <c r="K191" s="576"/>
      <c r="L191" s="576"/>
      <c r="M191" s="576"/>
      <c r="N191" s="576"/>
      <c r="O191" s="761" t="str">
        <f t="shared" si="75"/>
        <v/>
      </c>
    </row>
    <row r="192" spans="1:15">
      <c r="A192" s="116">
        <v>15</v>
      </c>
      <c r="B192" s="432" t="str">
        <f>IF($C192="","",IFERROR('Comps'!B24,"DELETE"))</f>
        <v/>
      </c>
      <c r="C192" s="13" t="str">
        <f>IF('Comps'!C24="","",'Comps'!C24)</f>
        <v/>
      </c>
      <c r="D192" s="576"/>
      <c r="E192" s="576"/>
      <c r="F192" s="576"/>
      <c r="G192" s="576"/>
      <c r="H192" s="576"/>
      <c r="I192" s="576"/>
      <c r="J192" s="576"/>
      <c r="K192" s="576"/>
      <c r="L192" s="576"/>
      <c r="M192" s="576"/>
      <c r="N192" s="576"/>
      <c r="O192" s="761" t="str">
        <f t="shared" si="75"/>
        <v/>
      </c>
    </row>
    <row r="193" spans="1:15">
      <c r="A193" s="116">
        <v>16</v>
      </c>
      <c r="B193" s="432" t="str">
        <f>IF($C193="","",IFERROR('Comps'!B25,"DELETE"))</f>
        <v/>
      </c>
      <c r="C193" s="13" t="str">
        <f>IF('Comps'!C25="","",'Comps'!C25)</f>
        <v/>
      </c>
      <c r="D193" s="576"/>
      <c r="E193" s="576"/>
      <c r="F193" s="576"/>
      <c r="G193" s="576"/>
      <c r="H193" s="576"/>
      <c r="I193" s="576"/>
      <c r="J193" s="576"/>
      <c r="K193" s="576"/>
      <c r="L193" s="576"/>
      <c r="M193" s="576"/>
      <c r="N193" s="576"/>
      <c r="O193" s="761" t="str">
        <f t="shared" si="75"/>
        <v/>
      </c>
    </row>
    <row r="194" spans="1:15">
      <c r="A194" s="116">
        <v>17</v>
      </c>
      <c r="B194" s="432" t="str">
        <f>IF($C194="","",IFERROR('Comps'!B26,"DELETE"))</f>
        <v/>
      </c>
      <c r="C194" s="13" t="str">
        <f>IF('Comps'!C26="","",'Comps'!C26)</f>
        <v/>
      </c>
      <c r="D194" s="576"/>
      <c r="E194" s="576"/>
      <c r="F194" s="576"/>
      <c r="G194" s="576"/>
      <c r="H194" s="576"/>
      <c r="I194" s="576"/>
      <c r="J194" s="576"/>
      <c r="K194" s="576"/>
      <c r="L194" s="576"/>
      <c r="M194" s="576"/>
      <c r="N194" s="576"/>
      <c r="O194" s="761" t="str">
        <f t="shared" si="75"/>
        <v/>
      </c>
    </row>
    <row r="195" spans="1:15">
      <c r="A195" s="116">
        <v>18</v>
      </c>
      <c r="B195" s="432" t="str">
        <f>IF($C195="","",IFERROR('Comps'!B27,"DELETE"))</f>
        <v/>
      </c>
      <c r="C195" s="13" t="str">
        <f>IF('Comps'!C27="","",'Comps'!C27)</f>
        <v/>
      </c>
      <c r="D195" s="576"/>
      <c r="E195" s="576"/>
      <c r="F195" s="576"/>
      <c r="G195" s="576"/>
      <c r="H195" s="576"/>
      <c r="I195" s="576"/>
      <c r="J195" s="576"/>
      <c r="K195" s="576"/>
      <c r="L195" s="576"/>
      <c r="M195" s="576"/>
      <c r="N195" s="576"/>
      <c r="O195" s="761" t="str">
        <f t="shared" si="75"/>
        <v/>
      </c>
    </row>
    <row r="196" spans="1:15" ht="4.4000000000000004" customHeight="1" thickBot="1">
      <c r="A196" s="116">
        <v>19</v>
      </c>
      <c r="B196" s="352"/>
      <c r="C196" s="353"/>
      <c r="D196" s="355"/>
      <c r="E196" s="355"/>
      <c r="F196" s="355"/>
      <c r="G196" s="355"/>
      <c r="H196" s="355"/>
      <c r="I196" s="355"/>
      <c r="J196" s="355"/>
      <c r="K196" s="355"/>
      <c r="L196" s="355"/>
      <c r="M196" s="355"/>
      <c r="N196" s="355"/>
      <c r="O196" s="356"/>
    </row>
    <row r="197" spans="1:15">
      <c r="A197" s="116">
        <v>20</v>
      </c>
      <c r="B197" s="665" t="s">
        <v>324</v>
      </c>
      <c r="D197" s="105"/>
      <c r="E197" s="105"/>
      <c r="F197" s="105"/>
      <c r="G197" s="105"/>
      <c r="H197" s="105"/>
      <c r="I197" s="105"/>
      <c r="J197" s="105"/>
      <c r="K197" s="105"/>
      <c r="L197" s="105"/>
      <c r="M197" s="105"/>
      <c r="N197" s="105"/>
      <c r="O197" s="104"/>
    </row>
    <row r="198" spans="1:15">
      <c r="A198" s="116">
        <v>21</v>
      </c>
      <c r="B198" t="s">
        <v>176</v>
      </c>
      <c r="D198" s="580">
        <f>MAX(D181:D196)</f>
        <v>50.56747</v>
      </c>
      <c r="E198" s="580">
        <f t="shared" ref="E198:H198" si="76">MAX(E181:E196)</f>
        <v>62.034799999999997</v>
      </c>
      <c r="F198" s="580">
        <f t="shared" si="76"/>
        <v>44.502630000000003</v>
      </c>
      <c r="G198" s="580">
        <f t="shared" si="76"/>
        <v>54.670430000000003</v>
      </c>
      <c r="H198" s="580">
        <f t="shared" si="76"/>
        <v>63.361080000000001</v>
      </c>
      <c r="I198" s="580">
        <f>MAX(I181:I196)</f>
        <v>56.381570000000004</v>
      </c>
      <c r="J198" s="580">
        <f t="shared" ref="J198:N198" si="77">MAX(J181:J196)</f>
        <v>33.539850000000001</v>
      </c>
      <c r="K198" s="580">
        <f t="shared" si="77"/>
        <v>26.172329999999999</v>
      </c>
      <c r="L198" s="580">
        <f t="shared" si="77"/>
        <v>26.429310000000001</v>
      </c>
      <c r="M198" s="580">
        <f t="shared" si="77"/>
        <v>28.165959999999998</v>
      </c>
      <c r="N198" s="580">
        <f t="shared" si="77"/>
        <v>25.754819999999999</v>
      </c>
      <c r="O198" s="27"/>
    </row>
    <row r="199" spans="1:15">
      <c r="A199" s="116">
        <v>22</v>
      </c>
      <c r="B199" t="s">
        <v>175</v>
      </c>
      <c r="D199" s="580">
        <f t="shared" ref="D199:N199" si="78">MIN(D181:D196)</f>
        <v>0</v>
      </c>
      <c r="E199" s="580">
        <f t="shared" si="78"/>
        <v>0</v>
      </c>
      <c r="F199" s="580">
        <f t="shared" si="78"/>
        <v>0</v>
      </c>
      <c r="G199" s="580">
        <f t="shared" si="78"/>
        <v>0</v>
      </c>
      <c r="H199" s="580">
        <f t="shared" si="78"/>
        <v>0</v>
      </c>
      <c r="I199" s="580">
        <f t="shared" si="78"/>
        <v>0</v>
      </c>
      <c r="J199" s="580">
        <f t="shared" si="78"/>
        <v>0</v>
      </c>
      <c r="K199" s="580">
        <f t="shared" si="78"/>
        <v>0</v>
      </c>
      <c r="L199" s="580">
        <f t="shared" si="78"/>
        <v>0</v>
      </c>
      <c r="M199" s="580">
        <f t="shared" si="78"/>
        <v>0</v>
      </c>
      <c r="N199" s="580">
        <f t="shared" si="78"/>
        <v>0</v>
      </c>
      <c r="O199" s="27"/>
    </row>
    <row r="200" spans="1:15">
      <c r="D200" s="105"/>
      <c r="E200" s="105"/>
      <c r="F200" s="105"/>
      <c r="G200" s="105"/>
      <c r="H200" s="105"/>
      <c r="I200" s="105"/>
      <c r="J200" s="105"/>
      <c r="K200" s="105"/>
      <c r="L200" s="105"/>
      <c r="M200" s="105"/>
      <c r="N200" s="105"/>
    </row>
    <row r="201" spans="1:15">
      <c r="A201" s="116">
        <v>1</v>
      </c>
      <c r="D201" s="578" t="str">
        <f t="shared" ref="D201:M201" si="79">"FY"&amp;RIGHT(D203,2)</f>
        <v>FY15</v>
      </c>
      <c r="E201" s="578" t="str">
        <f t="shared" si="79"/>
        <v>FY16</v>
      </c>
      <c r="F201" s="578" t="str">
        <f t="shared" si="79"/>
        <v>FY17</v>
      </c>
      <c r="G201" s="578" t="str">
        <f t="shared" si="79"/>
        <v>FY18</v>
      </c>
      <c r="H201" s="578" t="str">
        <f t="shared" si="79"/>
        <v>FY19</v>
      </c>
      <c r="I201" s="578" t="str">
        <f t="shared" si="79"/>
        <v>FY20</v>
      </c>
      <c r="J201" s="578" t="str">
        <f t="shared" si="79"/>
        <v>FY21</v>
      </c>
      <c r="K201" s="578" t="str">
        <f t="shared" si="79"/>
        <v>FY22</v>
      </c>
      <c r="L201" s="578" t="str">
        <f t="shared" si="79"/>
        <v>FY23</v>
      </c>
      <c r="M201" s="578" t="str">
        <f t="shared" si="79"/>
        <v>FY24</v>
      </c>
      <c r="N201" s="578" t="str">
        <f>"FY"&amp;RIGHT(N203,2)</f>
        <v>FY25</v>
      </c>
    </row>
    <row r="202" spans="1:15" ht="10.5">
      <c r="A202" s="116">
        <v>2</v>
      </c>
      <c r="B202" s="666" t="s">
        <v>291</v>
      </c>
      <c r="C202" s="666"/>
      <c r="D202" s="667"/>
      <c r="E202" s="667"/>
      <c r="F202" s="667"/>
      <c r="G202" s="667"/>
      <c r="H202" s="667"/>
      <c r="I202" s="667"/>
      <c r="J202" s="667"/>
      <c r="K202" s="667"/>
      <c r="L202" s="667"/>
      <c r="M202" s="667"/>
      <c r="N202" s="667"/>
      <c r="O202" s="666"/>
    </row>
    <row r="203" spans="1:15" ht="10.5">
      <c r="A203" s="116">
        <v>3</v>
      </c>
      <c r="B203" s="418" t="s">
        <v>290</v>
      </c>
      <c r="C203" s="419" t="s">
        <v>123</v>
      </c>
      <c r="D203" s="760" t="str">
        <f>D$8</f>
        <v>FY2015</v>
      </c>
      <c r="E203" s="760" t="str">
        <f t="shared" ref="E203:N203" si="80">E$8</f>
        <v>FY2016</v>
      </c>
      <c r="F203" s="760" t="str">
        <f t="shared" si="80"/>
        <v>FY2017</v>
      </c>
      <c r="G203" s="760" t="str">
        <f t="shared" si="80"/>
        <v>FY2018</v>
      </c>
      <c r="H203" s="760" t="str">
        <f t="shared" si="80"/>
        <v>FY2019</v>
      </c>
      <c r="I203" s="760" t="str">
        <f t="shared" si="80"/>
        <v>FY2020</v>
      </c>
      <c r="J203" s="760" t="str">
        <f t="shared" si="80"/>
        <v>FY2021</v>
      </c>
      <c r="K203" s="760" t="str">
        <f t="shared" si="80"/>
        <v>FY2022</v>
      </c>
      <c r="L203" s="760" t="str">
        <f t="shared" si="80"/>
        <v>FY2023</v>
      </c>
      <c r="M203" s="760" t="str">
        <f t="shared" si="80"/>
        <v>FY2024</v>
      </c>
      <c r="N203" s="760" t="str">
        <f t="shared" si="80"/>
        <v>FY2025</v>
      </c>
      <c r="O203" s="483" t="s">
        <v>190</v>
      </c>
    </row>
    <row r="204" spans="1:15">
      <c r="A204" s="116">
        <v>4</v>
      </c>
      <c r="B204" s="432" t="str">
        <f>IF($C204="","",IFERROR('Comps'!B13,"DELETE"))</f>
        <v>Netflix, Inc.</v>
      </c>
      <c r="C204" s="13" t="str">
        <f>IF('Comps'!C13="","",'Comps'!C13)</f>
        <v>NasdaqGS:NFLX</v>
      </c>
      <c r="D204" s="576">
        <v>0</v>
      </c>
      <c r="E204" s="576">
        <v>0</v>
      </c>
      <c r="F204" s="576">
        <v>0</v>
      </c>
      <c r="G204" s="576">
        <v>0</v>
      </c>
      <c r="H204" s="576">
        <v>7.3981899999999996</v>
      </c>
      <c r="I204" s="576">
        <v>7.7983599999999997</v>
      </c>
      <c r="J204" s="576">
        <v>8.6961300000000001</v>
      </c>
      <c r="K204" s="576">
        <v>10.351039999999999</v>
      </c>
      <c r="L204" s="576">
        <v>12.316560000000001</v>
      </c>
      <c r="M204" s="576">
        <v>12.304550000000001</v>
      </c>
      <c r="N204" s="576">
        <v>0</v>
      </c>
      <c r="O204" s="761">
        <f t="shared" ref="O204:O218" si="81">IF($C204="","",IFERROR(AVERAGE(K204:M204),"NA"))</f>
        <v>11.657383333333334</v>
      </c>
    </row>
    <row r="205" spans="1:15">
      <c r="A205" s="116">
        <v>5</v>
      </c>
      <c r="B205" s="432" t="str">
        <f>IF($C205="","",IFERROR('Comps'!B14,"DELETE"))</f>
        <v>Spotify Technology S.A.</v>
      </c>
      <c r="C205" s="13" t="str">
        <f>IF('Comps'!C14="","",'Comps'!C14)</f>
        <v>NYSE:SPOT</v>
      </c>
      <c r="D205" s="576">
        <v>0</v>
      </c>
      <c r="E205" s="576">
        <v>28.949870000000001</v>
      </c>
      <c r="F205" s="576">
        <v>22.087250000000001</v>
      </c>
      <c r="G205" s="576">
        <v>18.912479999999999</v>
      </c>
      <c r="H205" s="576">
        <v>15.378909999999999</v>
      </c>
      <c r="I205" s="576">
        <v>14.305479999999999</v>
      </c>
      <c r="J205" s="576">
        <v>14.270770000000001</v>
      </c>
      <c r="K205" s="576">
        <v>14.612780000000001</v>
      </c>
      <c r="L205" s="576">
        <v>15.20919</v>
      </c>
      <c r="M205" s="576">
        <v>13.334110000000001</v>
      </c>
      <c r="N205" s="576">
        <v>0</v>
      </c>
      <c r="O205" s="761">
        <f t="shared" si="81"/>
        <v>14.38536</v>
      </c>
    </row>
    <row r="206" spans="1:15">
      <c r="A206" s="116">
        <v>6</v>
      </c>
      <c r="B206" s="432" t="str">
        <f>IF($C206="","",IFERROR('Comps'!B15,"DELETE"))</f>
        <v>Roku, Inc.</v>
      </c>
      <c r="C206" s="13" t="str">
        <f>IF('Comps'!C15="","",'Comps'!C15)</f>
        <v>NasdaqGS:ROKU</v>
      </c>
      <c r="D206" s="576">
        <v>0</v>
      </c>
      <c r="E206" s="576">
        <v>61.854230000000001</v>
      </c>
      <c r="F206" s="576">
        <v>72.655810000000002</v>
      </c>
      <c r="G206" s="576">
        <v>75.825100000000006</v>
      </c>
      <c r="H206" s="576">
        <v>84.077389999999994</v>
      </c>
      <c r="I206" s="576">
        <v>89.27216</v>
      </c>
      <c r="J206" s="576">
        <v>87.839439999999996</v>
      </c>
      <c r="K206" s="576">
        <v>93.554609999999997</v>
      </c>
      <c r="L206" s="576">
        <v>85.771720000000002</v>
      </c>
      <c r="M206" s="576">
        <v>73.348230000000001</v>
      </c>
      <c r="N206" s="576">
        <v>0</v>
      </c>
      <c r="O206" s="761">
        <f t="shared" si="81"/>
        <v>84.224853333333328</v>
      </c>
    </row>
    <row r="207" spans="1:15">
      <c r="A207" s="116">
        <v>7</v>
      </c>
      <c r="B207" s="432" t="str">
        <f>IF($C207="","",IFERROR('Comps'!B16,"DELETE"))</f>
        <v>Iqiyi, Inc.</v>
      </c>
      <c r="C207" s="13" t="str">
        <f>IF('Comps'!C16="","",'Comps'!C16)</f>
        <v>NasdaqGS:IQ</v>
      </c>
      <c r="D207" s="576">
        <v>0</v>
      </c>
      <c r="E207" s="576">
        <v>61.438220000000001</v>
      </c>
      <c r="F207" s="576">
        <v>46.968200000000003</v>
      </c>
      <c r="G207" s="576">
        <v>55.51614</v>
      </c>
      <c r="H207" s="576">
        <v>72.933570000000003</v>
      </c>
      <c r="I207" s="576">
        <v>74.400109999999998</v>
      </c>
      <c r="J207" s="576">
        <v>64.342569999999995</v>
      </c>
      <c r="K207" s="576">
        <v>60.526130000000002</v>
      </c>
      <c r="L207" s="576">
        <v>50.567830000000001</v>
      </c>
      <c r="M207" s="576">
        <v>53.34816</v>
      </c>
      <c r="N207" s="576">
        <v>0</v>
      </c>
      <c r="O207" s="761">
        <f t="shared" si="81"/>
        <v>54.814040000000006</v>
      </c>
    </row>
    <row r="208" spans="1:15">
      <c r="A208" s="116">
        <v>8</v>
      </c>
      <c r="B208" s="432" t="str">
        <f>IF($C208="","",IFERROR('Comps'!B17,"DELETE"))</f>
        <v>Bilibili Inc.</v>
      </c>
      <c r="C208" s="13" t="str">
        <f>IF('Comps'!C17="","",'Comps'!C17)</f>
        <v>NasdaqGS:BILI</v>
      </c>
      <c r="D208" s="576">
        <v>0</v>
      </c>
      <c r="E208" s="576">
        <v>44.518039999999999</v>
      </c>
      <c r="F208" s="576">
        <v>37.23292</v>
      </c>
      <c r="G208" s="576">
        <v>31.70609</v>
      </c>
      <c r="H208" s="576">
        <v>28.789739999999998</v>
      </c>
      <c r="I208" s="576">
        <v>27.42914</v>
      </c>
      <c r="J208" s="576">
        <v>22.93478</v>
      </c>
      <c r="K208" s="576">
        <v>22.59168</v>
      </c>
      <c r="L208" s="576">
        <v>23.51294</v>
      </c>
      <c r="M208" s="576">
        <v>19.10191</v>
      </c>
      <c r="N208" s="576">
        <v>0</v>
      </c>
      <c r="O208" s="761">
        <f t="shared" si="81"/>
        <v>21.735510000000001</v>
      </c>
    </row>
    <row r="209" spans="1:15">
      <c r="A209" s="116">
        <v>9</v>
      </c>
      <c r="B209" s="432" t="str">
        <f>IF($C209="","",IFERROR('Comps'!B18,"DELETE"))</f>
        <v>The Walt Disney Company</v>
      </c>
      <c r="C209" s="13" t="str">
        <f>IF('Comps'!C18="","",'Comps'!C18)</f>
        <v>NYSE:DIS</v>
      </c>
      <c r="D209" s="576">
        <v>52.08061</v>
      </c>
      <c r="E209" s="576">
        <v>51.562060000000002</v>
      </c>
      <c r="F209" s="576">
        <v>51.919139999999999</v>
      </c>
      <c r="G209" s="576">
        <v>47.46414</v>
      </c>
      <c r="H209" s="576">
        <v>54.027059999999999</v>
      </c>
      <c r="I209" s="576">
        <v>66.553690000000003</v>
      </c>
      <c r="J209" s="576">
        <v>59.06664</v>
      </c>
      <c r="K209" s="576">
        <v>47.654879999999999</v>
      </c>
      <c r="L209" s="576">
        <v>42.413640000000001</v>
      </c>
      <c r="M209" s="576">
        <v>40.483350000000002</v>
      </c>
      <c r="N209" s="576">
        <v>39.709119999999999</v>
      </c>
      <c r="O209" s="761">
        <f t="shared" si="81"/>
        <v>43.517290000000003</v>
      </c>
    </row>
    <row r="210" spans="1:15">
      <c r="A210" s="116">
        <v>10</v>
      </c>
      <c r="B210" s="432" t="str">
        <f>IF($C210="","",IFERROR('Comps'!B19,"DELETE"))</f>
        <v>Warner Bros. Discovery, Inc.</v>
      </c>
      <c r="C210" s="13" t="str">
        <f>IF('Comps'!C19="","",'Comps'!C19)</f>
        <v>NasdaqGS:WBD</v>
      </c>
      <c r="D210" s="576">
        <v>87.522989999999993</v>
      </c>
      <c r="E210" s="576">
        <v>88.022270000000006</v>
      </c>
      <c r="F210" s="576">
        <v>92.908559999999994</v>
      </c>
      <c r="G210" s="576">
        <v>80.937290000000004</v>
      </c>
      <c r="H210" s="576">
        <v>88.121219999999994</v>
      </c>
      <c r="I210" s="576">
        <v>92.231269999999995</v>
      </c>
      <c r="J210" s="576">
        <v>79.799589999999995</v>
      </c>
      <c r="K210" s="576">
        <v>52.10266</v>
      </c>
      <c r="L210" s="576">
        <v>57.568170000000002</v>
      </c>
      <c r="M210" s="576">
        <v>55.437649999999998</v>
      </c>
      <c r="N210" s="576">
        <v>0</v>
      </c>
      <c r="O210" s="761">
        <f t="shared" si="81"/>
        <v>55.036159999999995</v>
      </c>
    </row>
    <row r="211" spans="1:15">
      <c r="A211" s="116">
        <v>11</v>
      </c>
      <c r="B211" s="432" t="str">
        <f>IF($C211="","",IFERROR('Comps'!B20,"DELETE"))</f>
        <v>Paramount Skydance Corporation</v>
      </c>
      <c r="C211" s="13" t="str">
        <f>IF('Comps'!C20="","",'Comps'!C20)</f>
        <v>NasdaqGS:PSKY</v>
      </c>
      <c r="D211" s="576">
        <v>98.429550000000006</v>
      </c>
      <c r="E211" s="576">
        <v>92.973150000000004</v>
      </c>
      <c r="F211" s="576">
        <v>48.21942</v>
      </c>
      <c r="G211" s="576">
        <v>75.251320000000007</v>
      </c>
      <c r="H211" s="576">
        <v>94.879930000000002</v>
      </c>
      <c r="I211" s="576">
        <v>100.2679</v>
      </c>
      <c r="J211" s="576">
        <v>89.385580000000004</v>
      </c>
      <c r="K211" s="576">
        <v>87.128060000000005</v>
      </c>
      <c r="L211" s="576">
        <v>89.409670000000006</v>
      </c>
      <c r="M211" s="576">
        <v>87.919790000000006</v>
      </c>
      <c r="N211" s="576">
        <v>0</v>
      </c>
      <c r="O211" s="761">
        <f t="shared" si="81"/>
        <v>88.152506666666682</v>
      </c>
    </row>
    <row r="212" spans="1:15">
      <c r="A212" s="116">
        <v>12</v>
      </c>
      <c r="B212" s="432" t="str">
        <f>IF($C212="","",IFERROR('Comps'!B21,"DELETE"))</f>
        <v>Comcast Corporation</v>
      </c>
      <c r="C212" s="13" t="str">
        <f>IF('Comps'!C21="","",'Comps'!C21)</f>
        <v>NasdaqGS:CMCSA</v>
      </c>
      <c r="D212" s="576">
        <v>32.372579999999999</v>
      </c>
      <c r="E212" s="576">
        <v>33.661749999999998</v>
      </c>
      <c r="F212" s="576">
        <v>36.03463</v>
      </c>
      <c r="G212" s="576">
        <v>38.501660000000001</v>
      </c>
      <c r="H212" s="576">
        <v>37.517620000000001</v>
      </c>
      <c r="I212" s="576">
        <v>40.213880000000003</v>
      </c>
      <c r="J212" s="576">
        <v>36.808790000000002</v>
      </c>
      <c r="K212" s="576">
        <v>37.092759999999998</v>
      </c>
      <c r="L212" s="576">
        <v>39.758360000000003</v>
      </c>
      <c r="M212" s="576">
        <v>40.634419999999999</v>
      </c>
      <c r="N212" s="576">
        <v>0</v>
      </c>
      <c r="O212" s="761">
        <f t="shared" si="81"/>
        <v>39.161846666666669</v>
      </c>
    </row>
    <row r="213" spans="1:15">
      <c r="A213" s="116">
        <v>13</v>
      </c>
      <c r="B213" s="432" t="str">
        <f>IF($C213="","",IFERROR('Comps'!B22,"DELETE"))</f>
        <v/>
      </c>
      <c r="C213" s="13" t="str">
        <f>IF('Comps'!C22="","",'Comps'!C22)</f>
        <v/>
      </c>
      <c r="D213" s="576"/>
      <c r="E213" s="576"/>
      <c r="F213" s="576"/>
      <c r="G213" s="576"/>
      <c r="H213" s="576"/>
      <c r="I213" s="576"/>
      <c r="J213" s="576"/>
      <c r="K213" s="576"/>
      <c r="L213" s="576"/>
      <c r="M213" s="576"/>
      <c r="N213" s="576"/>
      <c r="O213" s="761" t="str">
        <f t="shared" si="81"/>
        <v/>
      </c>
    </row>
    <row r="214" spans="1:15">
      <c r="A214" s="116">
        <v>14</v>
      </c>
      <c r="B214" s="432" t="str">
        <f>IF($C214="","",IFERROR('Comps'!B23,"DELETE"))</f>
        <v/>
      </c>
      <c r="C214" s="13" t="str">
        <f>IF('Comps'!C23="","",'Comps'!C23)</f>
        <v/>
      </c>
      <c r="D214" s="576"/>
      <c r="E214" s="576"/>
      <c r="F214" s="576"/>
      <c r="G214" s="576"/>
      <c r="H214" s="576"/>
      <c r="I214" s="576"/>
      <c r="J214" s="576"/>
      <c r="K214" s="576"/>
      <c r="L214" s="576"/>
      <c r="M214" s="576"/>
      <c r="N214" s="576"/>
      <c r="O214" s="761" t="str">
        <f t="shared" si="81"/>
        <v/>
      </c>
    </row>
    <row r="215" spans="1:15">
      <c r="A215" s="116">
        <v>15</v>
      </c>
      <c r="B215" s="432" t="str">
        <f>IF($C215="","",IFERROR('Comps'!B24,"DELETE"))</f>
        <v/>
      </c>
      <c r="C215" s="13" t="str">
        <f>IF('Comps'!C24="","",'Comps'!C24)</f>
        <v/>
      </c>
      <c r="D215" s="576"/>
      <c r="E215" s="576"/>
      <c r="F215" s="576"/>
      <c r="G215" s="576"/>
      <c r="H215" s="576"/>
      <c r="I215" s="576"/>
      <c r="J215" s="576"/>
      <c r="K215" s="576"/>
      <c r="L215" s="576"/>
      <c r="M215" s="576"/>
      <c r="N215" s="576"/>
      <c r="O215" s="761" t="str">
        <f t="shared" si="81"/>
        <v/>
      </c>
    </row>
    <row r="216" spans="1:15">
      <c r="A216" s="116">
        <v>16</v>
      </c>
      <c r="B216" s="432" t="str">
        <f>IF($C216="","",IFERROR('Comps'!B25,"DELETE"))</f>
        <v/>
      </c>
      <c r="C216" s="13" t="str">
        <f>IF('Comps'!C25="","",'Comps'!C25)</f>
        <v/>
      </c>
      <c r="D216" s="576"/>
      <c r="E216" s="576"/>
      <c r="F216" s="576"/>
      <c r="G216" s="576"/>
      <c r="H216" s="576"/>
      <c r="I216" s="576"/>
      <c r="J216" s="576"/>
      <c r="K216" s="576"/>
      <c r="L216" s="576"/>
      <c r="M216" s="576"/>
      <c r="N216" s="576"/>
      <c r="O216" s="761" t="str">
        <f t="shared" si="81"/>
        <v/>
      </c>
    </row>
    <row r="217" spans="1:15">
      <c r="A217" s="116">
        <v>17</v>
      </c>
      <c r="B217" s="432" t="str">
        <f>IF($C217="","",IFERROR('Comps'!B26,"DELETE"))</f>
        <v/>
      </c>
      <c r="C217" s="13" t="str">
        <f>IF('Comps'!C26="","",'Comps'!C26)</f>
        <v/>
      </c>
      <c r="D217" s="576"/>
      <c r="E217" s="576"/>
      <c r="F217" s="576"/>
      <c r="G217" s="576"/>
      <c r="H217" s="576"/>
      <c r="I217" s="576"/>
      <c r="J217" s="576"/>
      <c r="K217" s="576"/>
      <c r="L217" s="576"/>
      <c r="M217" s="576"/>
      <c r="N217" s="576"/>
      <c r="O217" s="761" t="str">
        <f t="shared" si="81"/>
        <v/>
      </c>
    </row>
    <row r="218" spans="1:15">
      <c r="A218" s="116">
        <v>18</v>
      </c>
      <c r="B218" s="432" t="str">
        <f>IF($C218="","",IFERROR('Comps'!B27,"DELETE"))</f>
        <v/>
      </c>
      <c r="C218" s="13" t="str">
        <f>IF('Comps'!C27="","",'Comps'!C27)</f>
        <v/>
      </c>
      <c r="D218" s="576"/>
      <c r="E218" s="576"/>
      <c r="F218" s="576"/>
      <c r="G218" s="576"/>
      <c r="H218" s="576"/>
      <c r="I218" s="576"/>
      <c r="J218" s="576"/>
      <c r="K218" s="576"/>
      <c r="L218" s="576"/>
      <c r="M218" s="576"/>
      <c r="N218" s="576"/>
      <c r="O218" s="761" t="str">
        <f t="shared" si="81"/>
        <v/>
      </c>
    </row>
    <row r="219" spans="1:15" ht="4.4000000000000004" customHeight="1" thickBot="1">
      <c r="A219" s="116">
        <v>19</v>
      </c>
      <c r="B219" s="352"/>
      <c r="C219" s="353"/>
      <c r="D219" s="355"/>
      <c r="E219" s="355"/>
      <c r="F219" s="355"/>
      <c r="G219" s="355"/>
      <c r="H219" s="355"/>
      <c r="I219" s="355"/>
      <c r="J219" s="355"/>
      <c r="K219" s="355"/>
      <c r="L219" s="355"/>
      <c r="M219" s="355"/>
      <c r="N219" s="355"/>
      <c r="O219" s="356"/>
    </row>
    <row r="220" spans="1:15">
      <c r="A220" s="116">
        <v>20</v>
      </c>
      <c r="B220" s="665" t="s">
        <v>324</v>
      </c>
      <c r="D220" s="105"/>
      <c r="E220" s="105"/>
      <c r="F220" s="105"/>
      <c r="G220" s="105"/>
      <c r="H220" s="105"/>
      <c r="I220" s="105"/>
      <c r="J220" s="105"/>
      <c r="K220" s="105"/>
      <c r="L220" s="105"/>
      <c r="M220" s="105"/>
      <c r="N220" s="105"/>
      <c r="O220" s="104"/>
    </row>
    <row r="221" spans="1:15">
      <c r="A221" s="116">
        <v>21</v>
      </c>
      <c r="B221" t="s">
        <v>176</v>
      </c>
      <c r="D221" s="580">
        <f t="shared" ref="D221:N221" si="82">MAX(D204:D219)</f>
        <v>98.429550000000006</v>
      </c>
      <c r="E221" s="580">
        <f t="shared" si="82"/>
        <v>92.973150000000004</v>
      </c>
      <c r="F221" s="580">
        <f t="shared" si="82"/>
        <v>92.908559999999994</v>
      </c>
      <c r="G221" s="580">
        <f t="shared" si="82"/>
        <v>80.937290000000004</v>
      </c>
      <c r="H221" s="580">
        <f t="shared" si="82"/>
        <v>94.879930000000002</v>
      </c>
      <c r="I221" s="580">
        <f t="shared" si="82"/>
        <v>100.2679</v>
      </c>
      <c r="J221" s="580">
        <f t="shared" si="82"/>
        <v>89.385580000000004</v>
      </c>
      <c r="K221" s="580">
        <f t="shared" si="82"/>
        <v>93.554609999999997</v>
      </c>
      <c r="L221" s="580">
        <f t="shared" si="82"/>
        <v>89.409670000000006</v>
      </c>
      <c r="M221" s="580">
        <f t="shared" si="82"/>
        <v>87.919790000000006</v>
      </c>
      <c r="N221" s="580">
        <f t="shared" si="82"/>
        <v>39.709119999999999</v>
      </c>
      <c r="O221" s="27"/>
    </row>
    <row r="222" spans="1:15">
      <c r="A222" s="116">
        <v>22</v>
      </c>
      <c r="B222" t="s">
        <v>175</v>
      </c>
      <c r="D222" s="580">
        <f t="shared" ref="D222:N222" si="83">MIN(D204:D219)</f>
        <v>0</v>
      </c>
      <c r="E222" s="580">
        <f t="shared" si="83"/>
        <v>0</v>
      </c>
      <c r="F222" s="580">
        <f t="shared" si="83"/>
        <v>0</v>
      </c>
      <c r="G222" s="580">
        <f t="shared" si="83"/>
        <v>0</v>
      </c>
      <c r="H222" s="580">
        <f t="shared" si="83"/>
        <v>7.3981899999999996</v>
      </c>
      <c r="I222" s="580">
        <f t="shared" si="83"/>
        <v>7.7983599999999997</v>
      </c>
      <c r="J222" s="580">
        <f t="shared" si="83"/>
        <v>8.6961300000000001</v>
      </c>
      <c r="K222" s="580">
        <f t="shared" si="83"/>
        <v>10.351039999999999</v>
      </c>
      <c r="L222" s="580">
        <f t="shared" si="83"/>
        <v>12.316560000000001</v>
      </c>
      <c r="M222" s="580">
        <f t="shared" si="83"/>
        <v>12.304550000000001</v>
      </c>
      <c r="N222" s="580">
        <f t="shared" si="83"/>
        <v>0</v>
      </c>
      <c r="O222" s="27"/>
    </row>
    <row r="223" spans="1:15">
      <c r="D223" s="105"/>
      <c r="E223" s="105"/>
      <c r="F223" s="105"/>
      <c r="G223" s="105"/>
      <c r="H223" s="105"/>
      <c r="I223" s="105"/>
      <c r="J223" s="105"/>
      <c r="K223" s="105"/>
      <c r="L223" s="105"/>
      <c r="M223" s="105"/>
      <c r="N223" s="105"/>
    </row>
    <row r="224" spans="1:15">
      <c r="A224" s="116">
        <v>1</v>
      </c>
      <c r="D224" s="578" t="str">
        <f t="shared" ref="D224:M224" si="84">"FY"&amp;RIGHT(D226,2)</f>
        <v>FY15</v>
      </c>
      <c r="E224" s="578" t="str">
        <f t="shared" si="84"/>
        <v>FY16</v>
      </c>
      <c r="F224" s="578" t="str">
        <f t="shared" si="84"/>
        <v>FY17</v>
      </c>
      <c r="G224" s="578" t="str">
        <f t="shared" si="84"/>
        <v>FY18</v>
      </c>
      <c r="H224" s="578" t="str">
        <f t="shared" si="84"/>
        <v>FY19</v>
      </c>
      <c r="I224" s="578" t="str">
        <f t="shared" si="84"/>
        <v>FY20</v>
      </c>
      <c r="J224" s="578" t="str">
        <f t="shared" si="84"/>
        <v>FY21</v>
      </c>
      <c r="K224" s="578" t="str">
        <f t="shared" si="84"/>
        <v>FY22</v>
      </c>
      <c r="L224" s="578" t="str">
        <f t="shared" si="84"/>
        <v>FY23</v>
      </c>
      <c r="M224" s="578" t="str">
        <f t="shared" si="84"/>
        <v>FY24</v>
      </c>
      <c r="N224" s="578" t="str">
        <f>"FY"&amp;RIGHT(N226,2)</f>
        <v>FY25</v>
      </c>
    </row>
    <row r="225" spans="1:15" ht="10.5">
      <c r="A225" s="116">
        <v>2</v>
      </c>
      <c r="B225" s="666" t="s">
        <v>292</v>
      </c>
      <c r="C225" s="666"/>
      <c r="D225" s="667"/>
      <c r="E225" s="667"/>
      <c r="F225" s="667"/>
      <c r="G225" s="667"/>
      <c r="H225" s="667"/>
      <c r="I225" s="667"/>
      <c r="J225" s="667"/>
      <c r="K225" s="667"/>
      <c r="L225" s="667"/>
      <c r="M225" s="667"/>
      <c r="N225" s="667"/>
      <c r="O225" s="666"/>
    </row>
    <row r="226" spans="1:15" ht="10.5">
      <c r="A226" s="116">
        <v>3</v>
      </c>
      <c r="B226" s="418" t="s">
        <v>290</v>
      </c>
      <c r="C226" s="419" t="s">
        <v>123</v>
      </c>
      <c r="D226" s="760" t="str">
        <f>D$8</f>
        <v>FY2015</v>
      </c>
      <c r="E226" s="760" t="str">
        <f t="shared" ref="E226:N226" si="85">E$8</f>
        <v>FY2016</v>
      </c>
      <c r="F226" s="760" t="str">
        <f t="shared" si="85"/>
        <v>FY2017</v>
      </c>
      <c r="G226" s="760" t="str">
        <f t="shared" si="85"/>
        <v>FY2018</v>
      </c>
      <c r="H226" s="760" t="str">
        <f t="shared" si="85"/>
        <v>FY2019</v>
      </c>
      <c r="I226" s="760" t="str">
        <f t="shared" si="85"/>
        <v>FY2020</v>
      </c>
      <c r="J226" s="760" t="str">
        <f t="shared" si="85"/>
        <v>FY2021</v>
      </c>
      <c r="K226" s="760" t="str">
        <f t="shared" si="85"/>
        <v>FY2022</v>
      </c>
      <c r="L226" s="760" t="str">
        <f t="shared" si="85"/>
        <v>FY2023</v>
      </c>
      <c r="M226" s="760" t="str">
        <f t="shared" si="85"/>
        <v>FY2024</v>
      </c>
      <c r="N226" s="760" t="str">
        <f t="shared" si="85"/>
        <v>FY2025</v>
      </c>
      <c r="O226" s="483" t="s">
        <v>190</v>
      </c>
    </row>
    <row r="227" spans="1:15">
      <c r="A227" s="116">
        <v>4</v>
      </c>
      <c r="B227" s="432" t="str">
        <f>IF($C227="","",IFERROR('Comps'!B13,"DELETE"))</f>
        <v>Netflix, Inc.</v>
      </c>
      <c r="C227" s="13" t="str">
        <f>IF('Comps'!C13="","",'Comps'!C13)</f>
        <v>NasdaqGS:NFLX</v>
      </c>
      <c r="D227" s="576">
        <v>18.08794</v>
      </c>
      <c r="E227" s="576">
        <v>16.56223</v>
      </c>
      <c r="F227" s="576">
        <v>15.275980000000001</v>
      </c>
      <c r="G227" s="576">
        <v>16.891110000000001</v>
      </c>
      <c r="H227" s="576">
        <v>18.151820000000001</v>
      </c>
      <c r="I227" s="576">
        <v>15.93857</v>
      </c>
      <c r="J227" s="576">
        <v>15.727119999999999</v>
      </c>
      <c r="K227" s="576">
        <v>14.366770000000001</v>
      </c>
      <c r="L227" s="576">
        <v>13.13453</v>
      </c>
      <c r="M227" s="576">
        <v>14.328900000000001</v>
      </c>
      <c r="N227" s="576">
        <v>0</v>
      </c>
      <c r="O227" s="761">
        <f t="shared" ref="O227:O241" si="86">IF($C227="","",IFERROR(AVERAGE(K227:M227),"NA"))</f>
        <v>13.943400000000002</v>
      </c>
    </row>
    <row r="228" spans="1:15">
      <c r="A228" s="116">
        <v>5</v>
      </c>
      <c r="B228" s="432" t="str">
        <f>IF($C228="","",IFERROR('Comps'!B14,"DELETE"))</f>
        <v>Spotify Technology S.A.</v>
      </c>
      <c r="C228" s="13" t="str">
        <f>IF('Comps'!C14="","",'Comps'!C14)</f>
        <v>NYSE:SPOT</v>
      </c>
      <c r="D228" s="576">
        <v>0</v>
      </c>
      <c r="E228" s="576">
        <v>18.50789</v>
      </c>
      <c r="F228" s="576">
        <v>21.453970000000002</v>
      </c>
      <c r="G228" s="576">
        <v>25.0901</v>
      </c>
      <c r="H228" s="576">
        <v>24.323599999999999</v>
      </c>
      <c r="I228" s="576">
        <v>25.304510000000001</v>
      </c>
      <c r="J228" s="576">
        <v>24.962350000000001</v>
      </c>
      <c r="K228" s="576">
        <v>23.265830000000001</v>
      </c>
      <c r="L228" s="576">
        <v>23.280429999999999</v>
      </c>
      <c r="M228" s="576">
        <v>26.6997</v>
      </c>
      <c r="N228" s="576">
        <v>0</v>
      </c>
      <c r="O228" s="761">
        <f t="shared" si="86"/>
        <v>24.415319999999998</v>
      </c>
    </row>
    <row r="229" spans="1:15">
      <c r="A229" s="116">
        <v>6</v>
      </c>
      <c r="B229" s="432" t="str">
        <f>IF($C229="","",IFERROR('Comps'!B15,"DELETE"))</f>
        <v>Roku, Inc.</v>
      </c>
      <c r="C229" s="13" t="str">
        <f>IF('Comps'!C15="","",'Comps'!C15)</f>
        <v>NasdaqGS:ROKU</v>
      </c>
      <c r="D229" s="576">
        <v>0</v>
      </c>
      <c r="E229" s="576">
        <v>41.836559999999999</v>
      </c>
      <c r="F229" s="576">
        <v>53.045819999999999</v>
      </c>
      <c r="G229" s="576">
        <v>49.9039</v>
      </c>
      <c r="H229" s="576">
        <v>48.39864</v>
      </c>
      <c r="I229" s="576">
        <v>42.735990000000001</v>
      </c>
      <c r="J229" s="576">
        <v>32.014519999999997</v>
      </c>
      <c r="K229" s="576">
        <v>30.354500000000002</v>
      </c>
      <c r="L229" s="576">
        <v>53.487830000000002</v>
      </c>
      <c r="M229" s="576">
        <v>50.836300000000001</v>
      </c>
      <c r="N229" s="576">
        <v>0</v>
      </c>
      <c r="O229" s="761">
        <f t="shared" si="86"/>
        <v>44.892876666666666</v>
      </c>
    </row>
    <row r="230" spans="1:15">
      <c r="A230" s="116">
        <v>7</v>
      </c>
      <c r="B230" s="432" t="str">
        <f>IF($C230="","",IFERROR('Comps'!B16,"DELETE"))</f>
        <v>Iqiyi, Inc.</v>
      </c>
      <c r="C230" s="13" t="str">
        <f>IF('Comps'!C16="","",'Comps'!C16)</f>
        <v>NasdaqGS:IQ</v>
      </c>
      <c r="D230" s="576">
        <v>0</v>
      </c>
      <c r="E230" s="576">
        <v>108.61378999999999</v>
      </c>
      <c r="F230" s="576">
        <v>120.53870000000001</v>
      </c>
      <c r="G230" s="576">
        <v>115.71486</v>
      </c>
      <c r="H230" s="576">
        <v>110.85890000000001</v>
      </c>
      <c r="I230" s="576">
        <v>106.66118</v>
      </c>
      <c r="J230" s="576">
        <v>109.91318</v>
      </c>
      <c r="K230" s="576">
        <v>122.12024</v>
      </c>
      <c r="L230" s="576">
        <v>93.16516</v>
      </c>
      <c r="M230" s="576">
        <v>101.74836999999999</v>
      </c>
      <c r="N230" s="576">
        <v>0</v>
      </c>
      <c r="O230" s="761">
        <f t="shared" si="86"/>
        <v>105.67792333333334</v>
      </c>
    </row>
    <row r="231" spans="1:15">
      <c r="A231" s="116">
        <v>8</v>
      </c>
      <c r="B231" s="432" t="str">
        <f>IF($C231="","",IFERROR('Comps'!B17,"DELETE"))</f>
        <v>Bilibili Inc.</v>
      </c>
      <c r="C231" s="13" t="str">
        <f>IF('Comps'!C17="","",'Comps'!C17)</f>
        <v>NasdaqGS:BILI</v>
      </c>
      <c r="D231" s="576">
        <v>0</v>
      </c>
      <c r="E231" s="576">
        <v>103.3562</v>
      </c>
      <c r="F231" s="576">
        <v>87.246319999999997</v>
      </c>
      <c r="G231" s="576">
        <v>107.37935</v>
      </c>
      <c r="H231" s="576">
        <v>106.32961</v>
      </c>
      <c r="I231" s="576">
        <v>98.385919999999999</v>
      </c>
      <c r="J231" s="576">
        <v>86.367400000000004</v>
      </c>
      <c r="K231" s="576">
        <v>87.662049999999994</v>
      </c>
      <c r="L231" s="576">
        <v>93.625420000000005</v>
      </c>
      <c r="M231" s="576">
        <v>92.348749999999995</v>
      </c>
      <c r="N231" s="576">
        <v>0</v>
      </c>
      <c r="O231" s="761">
        <f t="shared" si="86"/>
        <v>91.212073333333322</v>
      </c>
    </row>
    <row r="232" spans="1:15">
      <c r="A232" s="116">
        <v>9</v>
      </c>
      <c r="B232" s="432" t="str">
        <f>IF($C232="","",IFERROR('Comps'!B18,"DELETE"))</f>
        <v>The Walt Disney Company</v>
      </c>
      <c r="C232" s="13" t="str">
        <f>IF('Comps'!C18="","",'Comps'!C18)</f>
        <v>NYSE:DIS</v>
      </c>
      <c r="D232" s="576">
        <v>70.857290000000006</v>
      </c>
      <c r="E232" s="576">
        <v>75.712360000000004</v>
      </c>
      <c r="F232" s="576">
        <v>78.923209999999997</v>
      </c>
      <c r="G232" s="576">
        <v>71.109949999999998</v>
      </c>
      <c r="H232" s="576">
        <v>80.944140000000004</v>
      </c>
      <c r="I232" s="576">
        <v>117.32467</v>
      </c>
      <c r="J232" s="576">
        <v>113.83553999999999</v>
      </c>
      <c r="K232" s="576">
        <v>104.05086</v>
      </c>
      <c r="L232" s="576">
        <v>89.709980000000002</v>
      </c>
      <c r="M232" s="576">
        <v>89.250619999999998</v>
      </c>
      <c r="N232" s="576">
        <v>88.244159999999994</v>
      </c>
      <c r="O232" s="761">
        <f t="shared" si="86"/>
        <v>94.337153333333333</v>
      </c>
    </row>
    <row r="233" spans="1:15">
      <c r="A233" s="116">
        <v>10</v>
      </c>
      <c r="B233" s="432" t="str">
        <f>IF($C233="","",IFERROR('Comps'!B19,"DELETE"))</f>
        <v>Warner Bros. Discovery, Inc.</v>
      </c>
      <c r="C233" s="13" t="str">
        <f>IF('Comps'!C19="","",'Comps'!C19)</f>
        <v>NasdaqGS:WBD</v>
      </c>
      <c r="D233" s="576">
        <v>40.528869999999998</v>
      </c>
      <c r="E233" s="576">
        <v>40.434579999999997</v>
      </c>
      <c r="F233" s="576">
        <v>36.026960000000003</v>
      </c>
      <c r="G233" s="576">
        <v>28.09843</v>
      </c>
      <c r="H233" s="576">
        <v>38.328650000000003</v>
      </c>
      <c r="I233" s="576">
        <v>41.285170000000001</v>
      </c>
      <c r="J233" s="576">
        <v>31.991520000000001</v>
      </c>
      <c r="K233" s="576">
        <v>16.700579999999999</v>
      </c>
      <c r="L233" s="576">
        <v>20.370290000000001</v>
      </c>
      <c r="M233" s="576">
        <v>18.764089999999999</v>
      </c>
      <c r="N233" s="576">
        <v>0</v>
      </c>
      <c r="O233" s="761">
        <f t="shared" si="86"/>
        <v>18.611653333333333</v>
      </c>
    </row>
    <row r="234" spans="1:15">
      <c r="A234" s="116">
        <v>11</v>
      </c>
      <c r="B234" s="432" t="str">
        <f>IF($C234="","",IFERROR('Comps'!B20,"DELETE"))</f>
        <v>Paramount Skydance Corporation</v>
      </c>
      <c r="C234" s="13" t="str">
        <f>IF('Comps'!C20="","",'Comps'!C20)</f>
        <v>NasdaqGS:PSKY</v>
      </c>
      <c r="D234" s="576">
        <v>10.18642</v>
      </c>
      <c r="E234" s="576">
        <v>6.9247199999999998</v>
      </c>
      <c r="F234" s="576">
        <v>4.3544499999999999</v>
      </c>
      <c r="G234" s="576">
        <v>8.1785599999999992</v>
      </c>
      <c r="H234" s="576">
        <v>12.81296</v>
      </c>
      <c r="I234" s="576">
        <v>15.979189999999999</v>
      </c>
      <c r="J234" s="576">
        <v>14.30472</v>
      </c>
      <c r="K234" s="576">
        <v>20.42577</v>
      </c>
      <c r="L234" s="576">
        <v>22.738409999999998</v>
      </c>
      <c r="M234" s="576">
        <v>19.31382</v>
      </c>
      <c r="N234" s="576">
        <v>0</v>
      </c>
      <c r="O234" s="761">
        <f t="shared" si="86"/>
        <v>20.826000000000001</v>
      </c>
    </row>
    <row r="235" spans="1:15">
      <c r="A235" s="116">
        <v>12</v>
      </c>
      <c r="B235" s="432" t="str">
        <f>IF($C235="","",IFERROR('Comps'!B21,"DELETE"))</f>
        <v>Comcast Corporation</v>
      </c>
      <c r="C235" s="13" t="str">
        <f>IF('Comps'!C21="","",'Comps'!C21)</f>
        <v>NasdaqGS:CMCSA</v>
      </c>
      <c r="D235" s="576">
        <v>95.927480000000003</v>
      </c>
      <c r="E235" s="576">
        <v>98.685310000000001</v>
      </c>
      <c r="F235" s="576">
        <v>99.494990000000001</v>
      </c>
      <c r="G235" s="576">
        <v>94.66713</v>
      </c>
      <c r="H235" s="576">
        <v>102.37775999999999</v>
      </c>
      <c r="I235" s="576">
        <v>122.60378</v>
      </c>
      <c r="J235" s="576">
        <v>113.05474</v>
      </c>
      <c r="K235" s="576">
        <v>119.39149999999999</v>
      </c>
      <c r="L235" s="576">
        <v>124.01459</v>
      </c>
      <c r="M235" s="576">
        <v>117.42305</v>
      </c>
      <c r="N235" s="576">
        <v>0</v>
      </c>
      <c r="O235" s="761">
        <f t="shared" si="86"/>
        <v>120.27638</v>
      </c>
    </row>
    <row r="236" spans="1:15">
      <c r="A236" s="116">
        <v>13</v>
      </c>
      <c r="B236" s="432" t="str">
        <f>IF($C236="","",IFERROR('Comps'!B22,"DELETE"))</f>
        <v/>
      </c>
      <c r="C236" s="13" t="str">
        <f>IF('Comps'!C22="","",'Comps'!C22)</f>
        <v/>
      </c>
      <c r="D236" s="576"/>
      <c r="E236" s="576"/>
      <c r="F236" s="576"/>
      <c r="G236" s="576"/>
      <c r="H236" s="576"/>
      <c r="I236" s="576"/>
      <c r="J236" s="576"/>
      <c r="K236" s="576"/>
      <c r="L236" s="576"/>
      <c r="M236" s="576"/>
      <c r="N236" s="576"/>
      <c r="O236" s="761" t="str">
        <f t="shared" si="86"/>
        <v/>
      </c>
    </row>
    <row r="237" spans="1:15">
      <c r="A237" s="116">
        <v>14</v>
      </c>
      <c r="B237" s="432" t="str">
        <f>IF($C237="","",IFERROR('Comps'!B23,"DELETE"))</f>
        <v/>
      </c>
      <c r="C237" s="13" t="str">
        <f>IF('Comps'!C23="","",'Comps'!C23)</f>
        <v/>
      </c>
      <c r="D237" s="576"/>
      <c r="E237" s="576"/>
      <c r="F237" s="576"/>
      <c r="G237" s="576"/>
      <c r="H237" s="576"/>
      <c r="I237" s="576"/>
      <c r="J237" s="576"/>
      <c r="K237" s="576"/>
      <c r="L237" s="576"/>
      <c r="M237" s="576"/>
      <c r="N237" s="576"/>
      <c r="O237" s="761" t="str">
        <f t="shared" si="86"/>
        <v/>
      </c>
    </row>
    <row r="238" spans="1:15">
      <c r="A238" s="116">
        <v>15</v>
      </c>
      <c r="B238" s="432" t="str">
        <f>IF($C238="","",IFERROR('Comps'!B24,"DELETE"))</f>
        <v/>
      </c>
      <c r="C238" s="13" t="str">
        <f>IF('Comps'!C24="","",'Comps'!C24)</f>
        <v/>
      </c>
      <c r="D238" s="576"/>
      <c r="E238" s="576"/>
      <c r="F238" s="576"/>
      <c r="G238" s="576"/>
      <c r="H238" s="576"/>
      <c r="I238" s="576"/>
      <c r="J238" s="576"/>
      <c r="K238" s="576"/>
      <c r="L238" s="576"/>
      <c r="M238" s="576"/>
      <c r="N238" s="576"/>
      <c r="O238" s="761" t="str">
        <f t="shared" si="86"/>
        <v/>
      </c>
    </row>
    <row r="239" spans="1:15">
      <c r="A239" s="116">
        <v>16</v>
      </c>
      <c r="B239" s="432" t="str">
        <f>IF($C239="","",IFERROR('Comps'!B25,"DELETE"))</f>
        <v/>
      </c>
      <c r="C239" s="13" t="str">
        <f>IF('Comps'!C25="","",'Comps'!C25)</f>
        <v/>
      </c>
      <c r="D239" s="576"/>
      <c r="E239" s="576"/>
      <c r="F239" s="576"/>
      <c r="G239" s="576"/>
      <c r="H239" s="576"/>
      <c r="I239" s="576"/>
      <c r="J239" s="576"/>
      <c r="K239" s="576"/>
      <c r="L239" s="576"/>
      <c r="M239" s="576"/>
      <c r="N239" s="576"/>
      <c r="O239" s="761" t="str">
        <f t="shared" si="86"/>
        <v/>
      </c>
    </row>
    <row r="240" spans="1:15">
      <c r="A240" s="116">
        <v>17</v>
      </c>
      <c r="B240" s="432" t="str">
        <f>IF($C240="","",IFERROR('Comps'!B26,"DELETE"))</f>
        <v/>
      </c>
      <c r="C240" s="13" t="str">
        <f>IF('Comps'!C26="","",'Comps'!C26)</f>
        <v/>
      </c>
      <c r="D240" s="576"/>
      <c r="E240" s="576"/>
      <c r="F240" s="576"/>
      <c r="G240" s="576"/>
      <c r="H240" s="576"/>
      <c r="I240" s="576"/>
      <c r="J240" s="576"/>
      <c r="K240" s="576"/>
      <c r="L240" s="576"/>
      <c r="M240" s="576"/>
      <c r="N240" s="576"/>
      <c r="O240" s="761" t="str">
        <f t="shared" si="86"/>
        <v/>
      </c>
    </row>
    <row r="241" spans="1:15">
      <c r="A241" s="116">
        <v>18</v>
      </c>
      <c r="B241" s="432" t="str">
        <f>IF($C241="","",IFERROR('Comps'!B27,"DELETE"))</f>
        <v/>
      </c>
      <c r="C241" s="13" t="str">
        <f>IF('Comps'!C27="","",'Comps'!C27)</f>
        <v/>
      </c>
      <c r="D241" s="576"/>
      <c r="E241" s="576"/>
      <c r="F241" s="576"/>
      <c r="G241" s="576"/>
      <c r="H241" s="576"/>
      <c r="I241" s="576"/>
      <c r="J241" s="576"/>
      <c r="K241" s="576"/>
      <c r="L241" s="576"/>
      <c r="M241" s="576"/>
      <c r="N241" s="576"/>
      <c r="O241" s="761" t="str">
        <f t="shared" si="86"/>
        <v/>
      </c>
    </row>
    <row r="242" spans="1:15" ht="4.4000000000000004" customHeight="1" thickBot="1">
      <c r="A242" s="116">
        <v>19</v>
      </c>
      <c r="B242" s="352"/>
      <c r="C242" s="353"/>
      <c r="D242" s="355"/>
      <c r="E242" s="355"/>
      <c r="F242" s="355"/>
      <c r="G242" s="355"/>
      <c r="H242" s="355"/>
      <c r="I242" s="355"/>
      <c r="J242" s="355"/>
      <c r="K242" s="355"/>
      <c r="L242" s="355"/>
      <c r="M242" s="355"/>
      <c r="N242" s="355"/>
      <c r="O242" s="356"/>
    </row>
    <row r="243" spans="1:15">
      <c r="A243" s="116">
        <v>20</v>
      </c>
      <c r="B243" s="665" t="s">
        <v>324</v>
      </c>
      <c r="D243" s="105"/>
      <c r="E243" s="105"/>
      <c r="F243" s="105"/>
      <c r="G243" s="105"/>
      <c r="H243" s="105"/>
      <c r="I243" s="105"/>
      <c r="J243" s="105"/>
      <c r="K243" s="105"/>
      <c r="L243" s="105"/>
      <c r="M243" s="105"/>
      <c r="N243" s="105"/>
      <c r="O243" s="104"/>
    </row>
    <row r="244" spans="1:15">
      <c r="A244" s="116">
        <v>21</v>
      </c>
      <c r="B244" t="s">
        <v>176</v>
      </c>
      <c r="D244" s="580">
        <f>MAX(D227:D242)</f>
        <v>95.927480000000003</v>
      </c>
      <c r="E244" s="580">
        <f t="shared" ref="E244:H244" si="87">MAX(E227:E242)</f>
        <v>108.61378999999999</v>
      </c>
      <c r="F244" s="580">
        <f t="shared" si="87"/>
        <v>120.53870000000001</v>
      </c>
      <c r="G244" s="580">
        <f t="shared" si="87"/>
        <v>115.71486</v>
      </c>
      <c r="H244" s="580">
        <f t="shared" si="87"/>
        <v>110.85890000000001</v>
      </c>
      <c r="I244" s="580">
        <f>MAX(I227:I242)</f>
        <v>122.60378</v>
      </c>
      <c r="J244" s="580">
        <f t="shared" ref="J244:N244" si="88">MAX(J227:J242)</f>
        <v>113.83553999999999</v>
      </c>
      <c r="K244" s="580">
        <f t="shared" si="88"/>
        <v>122.12024</v>
      </c>
      <c r="L244" s="580">
        <f t="shared" si="88"/>
        <v>124.01459</v>
      </c>
      <c r="M244" s="580">
        <f t="shared" si="88"/>
        <v>117.42305</v>
      </c>
      <c r="N244" s="580">
        <f t="shared" si="88"/>
        <v>88.244159999999994</v>
      </c>
      <c r="O244" s="27"/>
    </row>
    <row r="245" spans="1:15">
      <c r="A245" s="116">
        <v>22</v>
      </c>
      <c r="B245" t="s">
        <v>175</v>
      </c>
      <c r="D245" s="580">
        <f t="shared" ref="D245:N245" si="89">MIN(D227:D242)</f>
        <v>0</v>
      </c>
      <c r="E245" s="580">
        <f t="shared" si="89"/>
        <v>6.9247199999999998</v>
      </c>
      <c r="F245" s="580">
        <f t="shared" si="89"/>
        <v>4.3544499999999999</v>
      </c>
      <c r="G245" s="580">
        <f t="shared" si="89"/>
        <v>8.1785599999999992</v>
      </c>
      <c r="H245" s="580">
        <f t="shared" si="89"/>
        <v>12.81296</v>
      </c>
      <c r="I245" s="580">
        <f t="shared" si="89"/>
        <v>15.93857</v>
      </c>
      <c r="J245" s="580">
        <f t="shared" si="89"/>
        <v>14.30472</v>
      </c>
      <c r="K245" s="580">
        <f t="shared" si="89"/>
        <v>14.366770000000001</v>
      </c>
      <c r="L245" s="580">
        <f t="shared" si="89"/>
        <v>13.13453</v>
      </c>
      <c r="M245" s="580">
        <f t="shared" si="89"/>
        <v>14.328900000000001</v>
      </c>
      <c r="N245" s="580">
        <f t="shared" si="89"/>
        <v>0</v>
      </c>
      <c r="O245" s="27"/>
    </row>
  </sheetData>
  <conditionalFormatting sqref="B9:B24">
    <cfRule type="cellIs" dxfId="107" priority="57" operator="equal">
      <formula>"delete"</formula>
    </cfRule>
  </conditionalFormatting>
  <conditionalFormatting sqref="B29:B44">
    <cfRule type="cellIs" dxfId="106" priority="36" operator="equal">
      <formula>"delete"</formula>
    </cfRule>
  </conditionalFormatting>
  <conditionalFormatting sqref="B49:B64">
    <cfRule type="cellIs" dxfId="105" priority="27" operator="equal">
      <formula>"delete"</formula>
    </cfRule>
  </conditionalFormatting>
  <conditionalFormatting sqref="B69:B84">
    <cfRule type="cellIs" dxfId="104" priority="26" operator="equal">
      <formula>"delete"</formula>
    </cfRule>
  </conditionalFormatting>
  <conditionalFormatting sqref="B89:B104">
    <cfRule type="cellIs" dxfId="103" priority="25" operator="equal">
      <formula>"delete"</formula>
    </cfRule>
  </conditionalFormatting>
  <conditionalFormatting sqref="B111:B126">
    <cfRule type="cellIs" dxfId="102" priority="24" operator="equal">
      <formula>"delete"</formula>
    </cfRule>
  </conditionalFormatting>
  <conditionalFormatting sqref="B134:B149">
    <cfRule type="cellIs" dxfId="101" priority="23" operator="equal">
      <formula>"delete"</formula>
    </cfRule>
  </conditionalFormatting>
  <conditionalFormatting sqref="B157:B172">
    <cfRule type="cellIs" dxfId="100" priority="11" operator="equal">
      <formula>"delete"</formula>
    </cfRule>
  </conditionalFormatting>
  <conditionalFormatting sqref="B181:B196">
    <cfRule type="cellIs" dxfId="99" priority="30" operator="equal">
      <formula>"delete"</formula>
    </cfRule>
  </conditionalFormatting>
  <conditionalFormatting sqref="B204:B219">
    <cfRule type="cellIs" dxfId="98" priority="29" operator="equal">
      <formula>"delete"</formula>
    </cfRule>
  </conditionalFormatting>
  <conditionalFormatting sqref="B227:B242">
    <cfRule type="cellIs" dxfId="97" priority="28" operator="equal">
      <formula>"delete"</formula>
    </cfRule>
  </conditionalFormatting>
  <conditionalFormatting sqref="B28:N28">
    <cfRule type="cellIs" dxfId="96" priority="10" operator="equal">
      <formula>"FYTEF"</formula>
    </cfRule>
  </conditionalFormatting>
  <conditionalFormatting sqref="B48:N48">
    <cfRule type="cellIs" dxfId="95" priority="9" operator="equal">
      <formula>"FYTEF"</formula>
    </cfRule>
  </conditionalFormatting>
  <conditionalFormatting sqref="B68:N68">
    <cfRule type="cellIs" dxfId="94" priority="8" operator="equal">
      <formula>"FYTEF"</formula>
    </cfRule>
  </conditionalFormatting>
  <conditionalFormatting sqref="B8:O8">
    <cfRule type="cellIs" dxfId="93" priority="80" operator="equal">
      <formula>"FYTEF"</formula>
    </cfRule>
  </conditionalFormatting>
  <conditionalFormatting sqref="B88:O88">
    <cfRule type="cellIs" dxfId="92" priority="7" operator="equal">
      <formula>"FYTEF"</formula>
    </cfRule>
  </conditionalFormatting>
  <conditionalFormatting sqref="B110:O110">
    <cfRule type="cellIs" dxfId="91" priority="6" operator="equal">
      <formula>"FYTEF"</formula>
    </cfRule>
  </conditionalFormatting>
  <conditionalFormatting sqref="B133:O133">
    <cfRule type="cellIs" dxfId="90" priority="5" operator="equal">
      <formula>"FYTEF"</formula>
    </cfRule>
  </conditionalFormatting>
  <conditionalFormatting sqref="B156:O156">
    <cfRule type="cellIs" dxfId="89" priority="4" operator="equal">
      <formula>"FYTEF"</formula>
    </cfRule>
  </conditionalFormatting>
  <conditionalFormatting sqref="B180:O180">
    <cfRule type="cellIs" dxfId="88" priority="3" operator="equal">
      <formula>"FYTEF"</formula>
    </cfRule>
  </conditionalFormatting>
  <conditionalFormatting sqref="B203:O203">
    <cfRule type="cellIs" dxfId="87" priority="2" operator="equal">
      <formula>"FYTEF"</formula>
    </cfRule>
  </conditionalFormatting>
  <conditionalFormatting sqref="B226:O226">
    <cfRule type="cellIs" dxfId="86" priority="1" operator="equal">
      <formula>"FYTEF"</formula>
    </cfRule>
  </conditionalFormatting>
  <dataValidations disablePrompts="1" count="1">
    <dataValidation type="list" allowBlank="1" showInputMessage="1" showErrorMessage="1" prompt="Units to display_x000a_TLN - Trillions_x000a_BLN - Billions_x000a_MLN - Millions" sqref="L2" xr:uid="{F5E85269-371D-4A87-A515-A8274ED762C9}">
      <formula1>"mln,bln,tln"</formula1>
    </dataValidation>
  </dataValidations>
  <pageMargins left="0.7" right="0.7" top="0.75" bottom="0.75" header="0.3" footer="0.3"/>
  <pageSetup paperSize="9" orientation="portrait" verticalDpi="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FFC000"/>
  </sheetPr>
  <dimension ref="B1:AR24"/>
  <sheetViews>
    <sheetView showGridLines="0" workbookViewId="0">
      <selection activeCell="P21" sqref="P21"/>
    </sheetView>
  </sheetViews>
  <sheetFormatPr defaultRowHeight="10"/>
  <cols>
    <col min="2" max="2" width="32.44140625" bestFit="1" customWidth="1"/>
    <col min="4" max="13" width="9.33203125" bestFit="1" customWidth="1"/>
    <col min="14" max="14" width="8.6640625" bestFit="1" customWidth="1"/>
    <col min="15" max="44" width="9.33203125" bestFit="1" customWidth="1"/>
  </cols>
  <sheetData>
    <row r="1" spans="2:44" ht="27.5">
      <c r="B1" s="18" t="s">
        <v>23</v>
      </c>
    </row>
    <row r="12" spans="2:44">
      <c r="B12" t="s">
        <v>50</v>
      </c>
      <c r="C12" s="28">
        <f>Input!D13</f>
        <v>5</v>
      </c>
      <c r="F12" s="23"/>
    </row>
    <row r="13" spans="2:44">
      <c r="B13" t="s">
        <v>48</v>
      </c>
      <c r="C13" s="28">
        <f>Input!D14</f>
        <v>5</v>
      </c>
      <c r="E13" s="27"/>
      <c r="F13" s="23"/>
      <c r="G13" s="27"/>
      <c r="H13" s="27"/>
      <c r="I13" s="27"/>
      <c r="J13" s="27"/>
      <c r="K13" s="27"/>
      <c r="L13" s="27"/>
      <c r="M13" s="27"/>
      <c r="N13" s="27"/>
      <c r="O13" s="27"/>
      <c r="P13" s="27"/>
      <c r="Q13" s="27"/>
    </row>
    <row r="14" spans="2:44" s="149" customFormat="1"/>
    <row r="15" spans="2:44">
      <c r="B15" t="s">
        <v>44</v>
      </c>
      <c r="D15" s="170">
        <f t="shared" ref="D15:L15" si="0">EDATE(D16,-12)+1</f>
        <v>42005</v>
      </c>
      <c r="E15" s="170">
        <f t="shared" si="0"/>
        <v>42370</v>
      </c>
      <c r="F15" s="170">
        <f t="shared" si="0"/>
        <v>42736</v>
      </c>
      <c r="G15" s="170">
        <f t="shared" si="0"/>
        <v>43101</v>
      </c>
      <c r="H15" s="170">
        <f t="shared" si="0"/>
        <v>43466</v>
      </c>
      <c r="I15" s="170">
        <f t="shared" si="0"/>
        <v>43831</v>
      </c>
      <c r="J15" s="170">
        <f t="shared" si="0"/>
        <v>44197</v>
      </c>
      <c r="K15" s="170">
        <f t="shared" si="0"/>
        <v>44562</v>
      </c>
      <c r="L15" s="170">
        <f t="shared" si="0"/>
        <v>44927</v>
      </c>
      <c r="M15" s="170">
        <f>EDATE(M16,-12)+1</f>
        <v>45292</v>
      </c>
      <c r="N15" s="170">
        <f>IF(O17=12,EDATE(O16,-24)+1,EDATE(O16,-12)+1)</f>
        <v>45658</v>
      </c>
      <c r="O15" s="171">
        <f>vd+1</f>
        <v>46023</v>
      </c>
      <c r="P15" s="171">
        <f>O16+1</f>
        <v>46388</v>
      </c>
      <c r="Q15" s="171">
        <f t="shared" ref="Q15:T15" si="1">P16+1</f>
        <v>46753</v>
      </c>
      <c r="R15" s="171">
        <f t="shared" si="1"/>
        <v>47119</v>
      </c>
      <c r="S15" s="171">
        <f t="shared" si="1"/>
        <v>47484</v>
      </c>
      <c r="T15" s="171">
        <f t="shared" si="1"/>
        <v>47849</v>
      </c>
      <c r="U15" s="171">
        <f t="shared" ref="U15" si="2">T16+1</f>
        <v>48214</v>
      </c>
      <c r="V15" s="171">
        <f t="shared" ref="V15" si="3">U16+1</f>
        <v>48580</v>
      </c>
      <c r="W15" s="171">
        <f t="shared" ref="W15" si="4">V16+1</f>
        <v>48945</v>
      </c>
      <c r="X15" s="171">
        <f t="shared" ref="X15" si="5">W16+1</f>
        <v>49310</v>
      </c>
      <c r="Y15" s="171">
        <f t="shared" ref="Y15" si="6">X16+1</f>
        <v>49675</v>
      </c>
      <c r="Z15" s="171">
        <f t="shared" ref="Z15" si="7">Y16+1</f>
        <v>50041</v>
      </c>
      <c r="AA15" s="171">
        <f t="shared" ref="AA15" si="8">Z16+1</f>
        <v>50406</v>
      </c>
      <c r="AB15" s="171">
        <f t="shared" ref="AB15" si="9">AA16+1</f>
        <v>50771</v>
      </c>
      <c r="AC15" s="171">
        <f t="shared" ref="AC15" si="10">AB16+1</f>
        <v>51136</v>
      </c>
      <c r="AD15" s="171">
        <f t="shared" ref="AD15" si="11">AC16+1</f>
        <v>51502</v>
      </c>
      <c r="AE15" s="171">
        <f t="shared" ref="AE15" si="12">AD16+1</f>
        <v>51867</v>
      </c>
      <c r="AF15" s="171">
        <f t="shared" ref="AF15" si="13">AE16+1</f>
        <v>52232</v>
      </c>
      <c r="AG15" s="171">
        <f t="shared" ref="AG15" si="14">AF16+1</f>
        <v>52597</v>
      </c>
      <c r="AH15" s="171">
        <f t="shared" ref="AH15" si="15">AG16+1</f>
        <v>52963</v>
      </c>
      <c r="AI15" s="171">
        <f t="shared" ref="AI15" si="16">AH16+1</f>
        <v>53328</v>
      </c>
      <c r="AJ15" s="171">
        <f t="shared" ref="AJ15" si="17">AI16+1</f>
        <v>53693</v>
      </c>
      <c r="AK15" s="171">
        <f t="shared" ref="AK15" si="18">AJ16+1</f>
        <v>54058</v>
      </c>
      <c r="AL15" s="171">
        <f t="shared" ref="AL15" si="19">AK16+1</f>
        <v>54424</v>
      </c>
      <c r="AM15" s="171">
        <f t="shared" ref="AM15" si="20">AL16+1</f>
        <v>54789</v>
      </c>
      <c r="AN15" s="171">
        <f t="shared" ref="AN15" si="21">AM16+1</f>
        <v>55154</v>
      </c>
      <c r="AO15" s="171">
        <f t="shared" ref="AO15" si="22">AN16+1</f>
        <v>55519</v>
      </c>
      <c r="AP15" s="171">
        <f t="shared" ref="AP15" si="23">AO16+1</f>
        <v>55885</v>
      </c>
      <c r="AQ15" s="171">
        <f t="shared" ref="AQ15" si="24">AP16+1</f>
        <v>56250</v>
      </c>
      <c r="AR15" s="171">
        <f t="shared" ref="AR15" si="25">AQ16+1</f>
        <v>56615</v>
      </c>
    </row>
    <row r="16" spans="2:44">
      <c r="B16" t="s">
        <v>45</v>
      </c>
      <c r="D16" s="172">
        <f t="shared" ref="D16:L16" si="26">E15-1</f>
        <v>42369</v>
      </c>
      <c r="E16" s="172">
        <f t="shared" si="26"/>
        <v>42735</v>
      </c>
      <c r="F16" s="172">
        <f t="shared" si="26"/>
        <v>43100</v>
      </c>
      <c r="G16" s="172">
        <f t="shared" si="26"/>
        <v>43465</v>
      </c>
      <c r="H16" s="172">
        <f t="shared" si="26"/>
        <v>43830</v>
      </c>
      <c r="I16" s="172">
        <f t="shared" si="26"/>
        <v>44196</v>
      </c>
      <c r="J16" s="172">
        <f t="shared" si="26"/>
        <v>44561</v>
      </c>
      <c r="K16" s="172">
        <f t="shared" si="26"/>
        <v>44926</v>
      </c>
      <c r="L16" s="172">
        <f t="shared" si="26"/>
        <v>45291</v>
      </c>
      <c r="M16" s="172">
        <f>N15-1</f>
        <v>45657</v>
      </c>
      <c r="N16" s="173">
        <f>vd</f>
        <v>46022</v>
      </c>
      <c r="O16" s="174">
        <f>next.fy</f>
        <v>46387</v>
      </c>
      <c r="P16" s="171">
        <f>EDATE(O16,12)</f>
        <v>46752</v>
      </c>
      <c r="Q16" s="171">
        <f t="shared" ref="Q16:T16" si="27">EDATE(P16,12)</f>
        <v>47118</v>
      </c>
      <c r="R16" s="171">
        <f t="shared" si="27"/>
        <v>47483</v>
      </c>
      <c r="S16" s="171">
        <f t="shared" si="27"/>
        <v>47848</v>
      </c>
      <c r="T16" s="171">
        <f t="shared" si="27"/>
        <v>48213</v>
      </c>
      <c r="U16" s="171">
        <f t="shared" ref="U16" si="28">EDATE(T16,12)</f>
        <v>48579</v>
      </c>
      <c r="V16" s="171">
        <f t="shared" ref="V16" si="29">EDATE(U16,12)</f>
        <v>48944</v>
      </c>
      <c r="W16" s="171">
        <f t="shared" ref="W16" si="30">EDATE(V16,12)</f>
        <v>49309</v>
      </c>
      <c r="X16" s="171">
        <f t="shared" ref="X16" si="31">EDATE(W16,12)</f>
        <v>49674</v>
      </c>
      <c r="Y16" s="171">
        <f t="shared" ref="Y16" si="32">EDATE(X16,12)</f>
        <v>50040</v>
      </c>
      <c r="Z16" s="171">
        <f t="shared" ref="Z16" si="33">EDATE(Y16,12)</f>
        <v>50405</v>
      </c>
      <c r="AA16" s="171">
        <f t="shared" ref="AA16" si="34">EDATE(Z16,12)</f>
        <v>50770</v>
      </c>
      <c r="AB16" s="171">
        <f t="shared" ref="AB16" si="35">EDATE(AA16,12)</f>
        <v>51135</v>
      </c>
      <c r="AC16" s="171">
        <f t="shared" ref="AC16" si="36">EDATE(AB16,12)</f>
        <v>51501</v>
      </c>
      <c r="AD16" s="171">
        <f t="shared" ref="AD16" si="37">EDATE(AC16,12)</f>
        <v>51866</v>
      </c>
      <c r="AE16" s="171">
        <f t="shared" ref="AE16" si="38">EDATE(AD16,12)</f>
        <v>52231</v>
      </c>
      <c r="AF16" s="171">
        <f t="shared" ref="AF16" si="39">EDATE(AE16,12)</f>
        <v>52596</v>
      </c>
      <c r="AG16" s="171">
        <f t="shared" ref="AG16" si="40">EDATE(AF16,12)</f>
        <v>52962</v>
      </c>
      <c r="AH16" s="171">
        <f t="shared" ref="AH16" si="41">EDATE(AG16,12)</f>
        <v>53327</v>
      </c>
      <c r="AI16" s="171">
        <f t="shared" ref="AI16" si="42">EDATE(AH16,12)</f>
        <v>53692</v>
      </c>
      <c r="AJ16" s="171">
        <f t="shared" ref="AJ16" si="43">EDATE(AI16,12)</f>
        <v>54057</v>
      </c>
      <c r="AK16" s="171">
        <f t="shared" ref="AK16" si="44">EDATE(AJ16,12)</f>
        <v>54423</v>
      </c>
      <c r="AL16" s="171">
        <f t="shared" ref="AL16" si="45">EDATE(AK16,12)</f>
        <v>54788</v>
      </c>
      <c r="AM16" s="171">
        <f t="shared" ref="AM16" si="46">EDATE(AL16,12)</f>
        <v>55153</v>
      </c>
      <c r="AN16" s="171">
        <f t="shared" ref="AN16" si="47">EDATE(AM16,12)</f>
        <v>55518</v>
      </c>
      <c r="AO16" s="171">
        <f t="shared" ref="AO16" si="48">EDATE(AN16,12)</f>
        <v>55884</v>
      </c>
      <c r="AP16" s="171">
        <f t="shared" ref="AP16" si="49">EDATE(AO16,12)</f>
        <v>56249</v>
      </c>
      <c r="AQ16" s="171">
        <f t="shared" ref="AQ16" si="50">EDATE(AP16,12)</f>
        <v>56614</v>
      </c>
      <c r="AR16" s="171">
        <f t="shared" ref="AR16" si="51">EDATE(AQ16,12)</f>
        <v>56979</v>
      </c>
    </row>
    <row r="17" spans="2:44">
      <c r="B17" t="s">
        <v>49</v>
      </c>
      <c r="D17" s="175">
        <f t="shared" ref="D17:M17" si="52">ROUND((D16-D15)/30,0)</f>
        <v>12</v>
      </c>
      <c r="E17" s="175">
        <f t="shared" si="52"/>
        <v>12</v>
      </c>
      <c r="F17" s="175">
        <f t="shared" si="52"/>
        <v>12</v>
      </c>
      <c r="G17" s="175">
        <f t="shared" si="52"/>
        <v>12</v>
      </c>
      <c r="H17" s="175">
        <f t="shared" si="52"/>
        <v>12</v>
      </c>
      <c r="I17" s="175">
        <f t="shared" si="52"/>
        <v>12</v>
      </c>
      <c r="J17" s="175">
        <f t="shared" si="52"/>
        <v>12</v>
      </c>
      <c r="K17" s="175">
        <f t="shared" si="52"/>
        <v>12</v>
      </c>
      <c r="L17" s="175">
        <f t="shared" si="52"/>
        <v>12</v>
      </c>
      <c r="M17" s="175">
        <f t="shared" si="52"/>
        <v>12</v>
      </c>
      <c r="N17" s="175">
        <f>ROUND((N16-N15)/30,0)</f>
        <v>12</v>
      </c>
      <c r="O17" s="176">
        <f>ROUND((O16-O15)/30,0)</f>
        <v>12</v>
      </c>
      <c r="P17" s="176">
        <f t="shared" ref="P17" si="53">ROUND((P16-P15)/30,0)</f>
        <v>12</v>
      </c>
      <c r="Q17" s="176">
        <f t="shared" ref="Q17" si="54">ROUND((Q16-Q15)/30,0)</f>
        <v>12</v>
      </c>
      <c r="R17" s="176">
        <f t="shared" ref="R17" si="55">ROUND((R16-R15)/30,0)</f>
        <v>12</v>
      </c>
      <c r="S17" s="176">
        <f t="shared" ref="S17" si="56">ROUND((S16-S15)/30,0)</f>
        <v>12</v>
      </c>
      <c r="T17" s="176">
        <f t="shared" ref="T17:AR17" si="57">ROUND((T16-T15)/30,0)</f>
        <v>12</v>
      </c>
      <c r="U17" s="176">
        <f t="shared" si="57"/>
        <v>12</v>
      </c>
      <c r="V17" s="176">
        <f t="shared" si="57"/>
        <v>12</v>
      </c>
      <c r="W17" s="176">
        <f t="shared" si="57"/>
        <v>12</v>
      </c>
      <c r="X17" s="176">
        <f t="shared" ref="X17:AC17" si="58">ROUND((X16-X15)/30,0)</f>
        <v>12</v>
      </c>
      <c r="Y17" s="176">
        <f t="shared" si="58"/>
        <v>12</v>
      </c>
      <c r="Z17" s="176">
        <f t="shared" si="58"/>
        <v>12</v>
      </c>
      <c r="AA17" s="176">
        <f t="shared" si="58"/>
        <v>12</v>
      </c>
      <c r="AB17" s="176">
        <f t="shared" si="58"/>
        <v>12</v>
      </c>
      <c r="AC17" s="176">
        <f t="shared" si="58"/>
        <v>12</v>
      </c>
      <c r="AD17" s="176">
        <f t="shared" si="57"/>
        <v>12</v>
      </c>
      <c r="AE17" s="176">
        <f t="shared" si="57"/>
        <v>12</v>
      </c>
      <c r="AF17" s="176">
        <f t="shared" si="57"/>
        <v>12</v>
      </c>
      <c r="AG17" s="176">
        <f t="shared" si="57"/>
        <v>12</v>
      </c>
      <c r="AH17" s="176">
        <f t="shared" si="57"/>
        <v>12</v>
      </c>
      <c r="AI17" s="176">
        <f t="shared" si="57"/>
        <v>12</v>
      </c>
      <c r="AJ17" s="176">
        <f t="shared" si="57"/>
        <v>12</v>
      </c>
      <c r="AK17" s="176">
        <f t="shared" si="57"/>
        <v>12</v>
      </c>
      <c r="AL17" s="176">
        <f t="shared" si="57"/>
        <v>12</v>
      </c>
      <c r="AM17" s="176">
        <f t="shared" si="57"/>
        <v>12</v>
      </c>
      <c r="AN17" s="176">
        <f t="shared" si="57"/>
        <v>12</v>
      </c>
      <c r="AO17" s="176">
        <f t="shared" si="57"/>
        <v>12</v>
      </c>
      <c r="AP17" s="176">
        <f t="shared" si="57"/>
        <v>12</v>
      </c>
      <c r="AQ17" s="176">
        <f t="shared" si="57"/>
        <v>12</v>
      </c>
      <c r="AR17" s="176">
        <f t="shared" si="57"/>
        <v>12</v>
      </c>
    </row>
    <row r="18" spans="2:44">
      <c r="D18" s="175"/>
      <c r="E18" s="175"/>
      <c r="F18" s="175"/>
      <c r="G18" s="175"/>
      <c r="H18" s="175"/>
      <c r="I18" s="175"/>
      <c r="J18" s="175"/>
      <c r="K18" s="175"/>
      <c r="L18" s="175"/>
      <c r="M18" s="175"/>
      <c r="N18" s="175"/>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s="176"/>
      <c r="AQ18" s="176"/>
      <c r="AR18" s="176"/>
    </row>
    <row r="19" spans="2:44">
      <c r="D19" s="175"/>
      <c r="E19" s="175"/>
      <c r="F19" s="175"/>
      <c r="G19" s="175"/>
      <c r="H19" s="175"/>
      <c r="I19" s="175"/>
      <c r="J19" s="175"/>
      <c r="K19" s="175"/>
      <c r="L19" s="175"/>
      <c r="M19" s="175"/>
      <c r="N19" s="175"/>
      <c r="O19" s="176"/>
      <c r="P19" s="176"/>
      <c r="Q19" s="176"/>
      <c r="R19" s="176"/>
      <c r="S19" s="176"/>
      <c r="T19" s="176"/>
      <c r="U19" s="176"/>
      <c r="V19" s="176"/>
      <c r="W19" s="176"/>
      <c r="X19" s="176"/>
      <c r="Y19" s="176"/>
      <c r="Z19" s="176"/>
      <c r="AA19" s="176"/>
      <c r="AB19" s="176"/>
      <c r="AC19" s="176"/>
      <c r="AD19" s="176"/>
      <c r="AE19" s="176"/>
      <c r="AF19" s="176"/>
      <c r="AG19" s="176"/>
      <c r="AH19" s="176"/>
      <c r="AI19" s="176"/>
      <c r="AJ19" s="176"/>
      <c r="AK19" s="176"/>
      <c r="AL19" s="176"/>
      <c r="AM19" s="176"/>
      <c r="AN19" s="176"/>
      <c r="AO19" s="176"/>
      <c r="AP19" s="176"/>
      <c r="AQ19" s="176"/>
      <c r="AR19" s="176"/>
    </row>
    <row r="20" spans="2:44">
      <c r="B20" t="s">
        <v>53</v>
      </c>
      <c r="D20" s="177" t="str">
        <f t="shared" ref="D20:N20" si="59">IF(D23&lt;$C$12,YEAR(D16),"DELETE")</f>
        <v>DELETE</v>
      </c>
      <c r="E20" s="177" t="str">
        <f>IF(E23&lt;$C$12,YEAR(E16),"DELETE")</f>
        <v>DELETE</v>
      </c>
      <c r="F20" s="177" t="str">
        <f t="shared" si="59"/>
        <v>DELETE</v>
      </c>
      <c r="G20" s="177" t="str">
        <f t="shared" si="59"/>
        <v>DELETE</v>
      </c>
      <c r="H20" s="177" t="str">
        <f t="shared" si="59"/>
        <v>DELETE</v>
      </c>
      <c r="I20" s="177" t="str">
        <f t="shared" si="59"/>
        <v>DELETE</v>
      </c>
      <c r="J20" s="177">
        <f t="shared" si="59"/>
        <v>2021</v>
      </c>
      <c r="K20" s="177">
        <f t="shared" si="59"/>
        <v>2022</v>
      </c>
      <c r="L20" s="177">
        <f t="shared" si="59"/>
        <v>2023</v>
      </c>
      <c r="M20" s="177">
        <f t="shared" si="59"/>
        <v>2024</v>
      </c>
      <c r="N20" s="177">
        <f t="shared" si="59"/>
        <v>2025</v>
      </c>
      <c r="O20" s="178">
        <f t="shared" ref="O20:T20" si="60">IF(O23&lt;$C$13+1,YEAR(O16),"DELETE")</f>
        <v>2026</v>
      </c>
      <c r="P20" s="178">
        <f t="shared" si="60"/>
        <v>2027</v>
      </c>
      <c r="Q20" s="178">
        <f t="shared" si="60"/>
        <v>2028</v>
      </c>
      <c r="R20" s="178">
        <f t="shared" si="60"/>
        <v>2029</v>
      </c>
      <c r="S20" s="178">
        <f t="shared" si="60"/>
        <v>2030</v>
      </c>
      <c r="T20" s="178" t="str">
        <f t="shared" si="60"/>
        <v>DELETE</v>
      </c>
      <c r="U20" s="178" t="str">
        <f t="shared" ref="U20:AR20" si="61">IF(U23&lt;$C$13+1,YEAR(U16),"DELETE")</f>
        <v>DELETE</v>
      </c>
      <c r="V20" s="178" t="str">
        <f t="shared" si="61"/>
        <v>DELETE</v>
      </c>
      <c r="W20" s="178" t="str">
        <f t="shared" si="61"/>
        <v>DELETE</v>
      </c>
      <c r="X20" s="178" t="str">
        <f t="shared" ref="X20:AC20" si="62">IF(X23&lt;$C$13+1,YEAR(X16),"DELETE")</f>
        <v>DELETE</v>
      </c>
      <c r="Y20" s="178" t="str">
        <f t="shared" si="62"/>
        <v>DELETE</v>
      </c>
      <c r="Z20" s="178" t="str">
        <f t="shared" si="62"/>
        <v>DELETE</v>
      </c>
      <c r="AA20" s="178" t="str">
        <f t="shared" si="62"/>
        <v>DELETE</v>
      </c>
      <c r="AB20" s="178" t="str">
        <f t="shared" si="62"/>
        <v>DELETE</v>
      </c>
      <c r="AC20" s="178" t="str">
        <f t="shared" si="62"/>
        <v>DELETE</v>
      </c>
      <c r="AD20" s="178" t="str">
        <f t="shared" si="61"/>
        <v>DELETE</v>
      </c>
      <c r="AE20" s="178" t="str">
        <f t="shared" si="61"/>
        <v>DELETE</v>
      </c>
      <c r="AF20" s="178" t="str">
        <f t="shared" si="61"/>
        <v>DELETE</v>
      </c>
      <c r="AG20" s="178" t="str">
        <f t="shared" si="61"/>
        <v>DELETE</v>
      </c>
      <c r="AH20" s="178" t="str">
        <f t="shared" si="61"/>
        <v>DELETE</v>
      </c>
      <c r="AI20" s="178" t="str">
        <f t="shared" si="61"/>
        <v>DELETE</v>
      </c>
      <c r="AJ20" s="178" t="str">
        <f t="shared" si="61"/>
        <v>DELETE</v>
      </c>
      <c r="AK20" s="178" t="str">
        <f t="shared" si="61"/>
        <v>DELETE</v>
      </c>
      <c r="AL20" s="178" t="str">
        <f t="shared" si="61"/>
        <v>DELETE</v>
      </c>
      <c r="AM20" s="178" t="str">
        <f t="shared" si="61"/>
        <v>DELETE</v>
      </c>
      <c r="AN20" s="178" t="str">
        <f t="shared" si="61"/>
        <v>DELETE</v>
      </c>
      <c r="AO20" s="178" t="str">
        <f t="shared" si="61"/>
        <v>DELETE</v>
      </c>
      <c r="AP20" s="178" t="str">
        <f t="shared" si="61"/>
        <v>DELETE</v>
      </c>
      <c r="AQ20" s="178" t="str">
        <f t="shared" si="61"/>
        <v>DELETE</v>
      </c>
      <c r="AR20" s="178" t="str">
        <f t="shared" si="61"/>
        <v>DELETE</v>
      </c>
    </row>
    <row r="21" spans="2:44">
      <c r="D21" s="177" t="str">
        <f t="shared" ref="D21:N21" si="63">IF(D17=12,"FY"&amp;RIGHT(D20,2),D17&amp;"M"&amp;RIGHT(E20,2))</f>
        <v>FYTE</v>
      </c>
      <c r="E21" s="177" t="str">
        <f t="shared" si="63"/>
        <v>FYTE</v>
      </c>
      <c r="F21" s="177" t="str">
        <f t="shared" si="63"/>
        <v>FYTE</v>
      </c>
      <c r="G21" s="177" t="str">
        <f t="shared" si="63"/>
        <v>FYTE</v>
      </c>
      <c r="H21" s="177" t="str">
        <f t="shared" si="63"/>
        <v>FYTE</v>
      </c>
      <c r="I21" s="177" t="str">
        <f t="shared" si="63"/>
        <v>FYTE</v>
      </c>
      <c r="J21" s="177" t="str">
        <f t="shared" si="63"/>
        <v>FY21</v>
      </c>
      <c r="K21" s="177" t="str">
        <f t="shared" si="63"/>
        <v>FY22</v>
      </c>
      <c r="L21" s="177" t="str">
        <f t="shared" si="63"/>
        <v>FY23</v>
      </c>
      <c r="M21" s="177" t="str">
        <f t="shared" si="63"/>
        <v>FY24</v>
      </c>
      <c r="N21" s="177" t="str">
        <f t="shared" si="63"/>
        <v>FY25</v>
      </c>
      <c r="O21" s="178" t="str">
        <f>IF(O17=12,"FY"&amp;RIGHT(O20,2)&amp;"F",O17&amp;"M"&amp;RIGHT(O20,2)&amp;"F")</f>
        <v>FY26F</v>
      </c>
      <c r="P21" s="178" t="str">
        <f t="shared" ref="P21:T21" si="64">IF(P17=12,"FY"&amp;RIGHT(P20,2)&amp;"F",P17&amp;"M"&amp;RIGHT(P20,2)&amp;"F")</f>
        <v>FY27F</v>
      </c>
      <c r="Q21" s="178" t="str">
        <f t="shared" si="64"/>
        <v>FY28F</v>
      </c>
      <c r="R21" s="178" t="str">
        <f t="shared" si="64"/>
        <v>FY29F</v>
      </c>
      <c r="S21" s="178" t="str">
        <f t="shared" si="64"/>
        <v>FY30F</v>
      </c>
      <c r="T21" s="178" t="str">
        <f t="shared" si="64"/>
        <v>FYTEF</v>
      </c>
      <c r="U21" s="178" t="str">
        <f t="shared" ref="U21:AR21" si="65">IF(U17=12,"FY"&amp;RIGHT(U20,2)&amp;"F",U17&amp;"M"&amp;RIGHT(U20,2)&amp;"F")</f>
        <v>FYTEF</v>
      </c>
      <c r="V21" s="178" t="str">
        <f t="shared" si="65"/>
        <v>FYTEF</v>
      </c>
      <c r="W21" s="178" t="str">
        <f t="shared" si="65"/>
        <v>FYTEF</v>
      </c>
      <c r="X21" s="178" t="str">
        <f t="shared" ref="X21:AC21" si="66">IF(X17=12,"FY"&amp;RIGHT(X20,2)&amp;"F",X17&amp;"M"&amp;RIGHT(X20,2)&amp;"F")</f>
        <v>FYTEF</v>
      </c>
      <c r="Y21" s="178" t="str">
        <f t="shared" si="66"/>
        <v>FYTEF</v>
      </c>
      <c r="Z21" s="178" t="str">
        <f t="shared" si="66"/>
        <v>FYTEF</v>
      </c>
      <c r="AA21" s="178" t="str">
        <f t="shared" si="66"/>
        <v>FYTEF</v>
      </c>
      <c r="AB21" s="178" t="str">
        <f t="shared" si="66"/>
        <v>FYTEF</v>
      </c>
      <c r="AC21" s="178" t="str">
        <f t="shared" si="66"/>
        <v>FYTEF</v>
      </c>
      <c r="AD21" s="178" t="str">
        <f t="shared" si="65"/>
        <v>FYTEF</v>
      </c>
      <c r="AE21" s="178" t="str">
        <f t="shared" si="65"/>
        <v>FYTEF</v>
      </c>
      <c r="AF21" s="178" t="str">
        <f t="shared" si="65"/>
        <v>FYTEF</v>
      </c>
      <c r="AG21" s="178" t="str">
        <f t="shared" si="65"/>
        <v>FYTEF</v>
      </c>
      <c r="AH21" s="178" t="str">
        <f t="shared" si="65"/>
        <v>FYTEF</v>
      </c>
      <c r="AI21" s="178" t="str">
        <f t="shared" si="65"/>
        <v>FYTEF</v>
      </c>
      <c r="AJ21" s="178" t="str">
        <f t="shared" si="65"/>
        <v>FYTEF</v>
      </c>
      <c r="AK21" s="178" t="str">
        <f t="shared" si="65"/>
        <v>FYTEF</v>
      </c>
      <c r="AL21" s="178" t="str">
        <f t="shared" si="65"/>
        <v>FYTEF</v>
      </c>
      <c r="AM21" s="178" t="str">
        <f t="shared" si="65"/>
        <v>FYTEF</v>
      </c>
      <c r="AN21" s="178" t="str">
        <f t="shared" si="65"/>
        <v>FYTEF</v>
      </c>
      <c r="AO21" s="178" t="str">
        <f t="shared" si="65"/>
        <v>FYTEF</v>
      </c>
      <c r="AP21" s="178" t="str">
        <f t="shared" si="65"/>
        <v>FYTEF</v>
      </c>
      <c r="AQ21" s="178" t="str">
        <f t="shared" si="65"/>
        <v>FYTEF</v>
      </c>
      <c r="AR21" s="178" t="str">
        <f t="shared" si="65"/>
        <v>FYTEF</v>
      </c>
    </row>
    <row r="22" spans="2:44">
      <c r="D22" s="175"/>
      <c r="E22" s="175"/>
      <c r="F22" s="175"/>
      <c r="G22" s="175"/>
      <c r="H22" s="175"/>
      <c r="I22" s="175"/>
      <c r="J22" s="175"/>
      <c r="K22" s="175"/>
      <c r="L22" s="175"/>
      <c r="M22" s="175"/>
      <c r="N22" s="175"/>
      <c r="O22" s="176"/>
      <c r="P22" s="176"/>
      <c r="Q22" s="176"/>
      <c r="R22" s="176"/>
      <c r="S22" s="176"/>
      <c r="T22" s="176"/>
      <c r="U22" s="176"/>
      <c r="V22" s="176"/>
      <c r="W22" s="176"/>
      <c r="X22" s="176"/>
      <c r="Y22" s="176"/>
      <c r="Z22" s="176"/>
      <c r="AA22" s="176"/>
      <c r="AB22" s="176"/>
      <c r="AC22" s="176"/>
      <c r="AD22" s="176"/>
      <c r="AE22" s="176"/>
      <c r="AF22" s="176"/>
      <c r="AG22" s="176"/>
      <c r="AH22" s="176"/>
      <c r="AI22" s="176"/>
      <c r="AJ22" s="176"/>
      <c r="AK22" s="176"/>
      <c r="AL22" s="176"/>
      <c r="AM22" s="176"/>
      <c r="AN22" s="176"/>
      <c r="AO22" s="176"/>
      <c r="AP22" s="176"/>
      <c r="AQ22" s="176"/>
      <c r="AR22" s="176"/>
    </row>
    <row r="23" spans="2:44" s="294" customFormat="1">
      <c r="B23" s="294" t="s">
        <v>54</v>
      </c>
      <c r="D23" s="295">
        <f t="shared" ref="D23:T23" si="67">YEARFRAC(vd,D16)</f>
        <v>10</v>
      </c>
      <c r="E23" s="295">
        <f t="shared" si="67"/>
        <v>9</v>
      </c>
      <c r="F23" s="295">
        <f t="shared" si="67"/>
        <v>8</v>
      </c>
      <c r="G23" s="295">
        <f t="shared" si="67"/>
        <v>7</v>
      </c>
      <c r="H23" s="295">
        <f t="shared" si="67"/>
        <v>6</v>
      </c>
      <c r="I23" s="295">
        <f t="shared" si="67"/>
        <v>5</v>
      </c>
      <c r="J23" s="295">
        <f t="shared" si="67"/>
        <v>4</v>
      </c>
      <c r="K23" s="295">
        <f t="shared" si="67"/>
        <v>3</v>
      </c>
      <c r="L23" s="295">
        <f t="shared" si="67"/>
        <v>2</v>
      </c>
      <c r="M23" s="295">
        <f t="shared" si="67"/>
        <v>1</v>
      </c>
      <c r="N23" s="295">
        <f t="shared" si="67"/>
        <v>0</v>
      </c>
      <c r="O23" s="296">
        <f t="shared" si="67"/>
        <v>1</v>
      </c>
      <c r="P23" s="296">
        <f t="shared" si="67"/>
        <v>2</v>
      </c>
      <c r="Q23" s="296">
        <f t="shared" si="67"/>
        <v>3</v>
      </c>
      <c r="R23" s="296">
        <f t="shared" si="67"/>
        <v>4</v>
      </c>
      <c r="S23" s="296">
        <f t="shared" si="67"/>
        <v>5</v>
      </c>
      <c r="T23" s="296">
        <f t="shared" si="67"/>
        <v>6</v>
      </c>
      <c r="U23" s="296">
        <f t="shared" ref="U23:AR23" si="68">YEARFRAC(vd,U16)</f>
        <v>7</v>
      </c>
      <c r="V23" s="296">
        <f t="shared" si="68"/>
        <v>8</v>
      </c>
      <c r="W23" s="296">
        <f t="shared" si="68"/>
        <v>9</v>
      </c>
      <c r="X23" s="296">
        <f t="shared" ref="X23:AC23" si="69">YEARFRAC(vd,X16)</f>
        <v>10</v>
      </c>
      <c r="Y23" s="296">
        <f t="shared" si="69"/>
        <v>11</v>
      </c>
      <c r="Z23" s="296">
        <f t="shared" si="69"/>
        <v>12</v>
      </c>
      <c r="AA23" s="296">
        <f t="shared" si="69"/>
        <v>13</v>
      </c>
      <c r="AB23" s="296">
        <f t="shared" si="69"/>
        <v>14</v>
      </c>
      <c r="AC23" s="296">
        <f t="shared" si="69"/>
        <v>15</v>
      </c>
      <c r="AD23" s="296">
        <f t="shared" si="68"/>
        <v>16</v>
      </c>
      <c r="AE23" s="296">
        <f t="shared" si="68"/>
        <v>17</v>
      </c>
      <c r="AF23" s="296">
        <f t="shared" si="68"/>
        <v>18</v>
      </c>
      <c r="AG23" s="296">
        <f t="shared" si="68"/>
        <v>19</v>
      </c>
      <c r="AH23" s="296">
        <f t="shared" si="68"/>
        <v>20</v>
      </c>
      <c r="AI23" s="296">
        <f t="shared" si="68"/>
        <v>21</v>
      </c>
      <c r="AJ23" s="296">
        <f t="shared" si="68"/>
        <v>22</v>
      </c>
      <c r="AK23" s="296">
        <f t="shared" si="68"/>
        <v>23</v>
      </c>
      <c r="AL23" s="296">
        <f t="shared" si="68"/>
        <v>24</v>
      </c>
      <c r="AM23" s="296">
        <f t="shared" si="68"/>
        <v>25</v>
      </c>
      <c r="AN23" s="296">
        <f t="shared" si="68"/>
        <v>26</v>
      </c>
      <c r="AO23" s="296">
        <f t="shared" si="68"/>
        <v>27</v>
      </c>
      <c r="AP23" s="296">
        <f t="shared" si="68"/>
        <v>28</v>
      </c>
      <c r="AQ23" s="296">
        <f t="shared" si="68"/>
        <v>29</v>
      </c>
      <c r="AR23" s="296">
        <f t="shared" si="68"/>
        <v>30</v>
      </c>
    </row>
    <row r="24" spans="2:44" s="294" customFormat="1">
      <c r="B24" s="294" t="s">
        <v>55</v>
      </c>
      <c r="D24" s="295"/>
      <c r="E24" s="295"/>
      <c r="F24" s="295"/>
      <c r="G24" s="295"/>
      <c r="H24" s="295"/>
      <c r="I24" s="295"/>
      <c r="J24" s="295"/>
      <c r="K24" s="295"/>
      <c r="L24" s="295"/>
      <c r="M24" s="295"/>
      <c r="N24" s="295"/>
      <c r="O24" s="296">
        <f>O23/2</f>
        <v>0.5</v>
      </c>
      <c r="P24" s="296">
        <f>P23-0.5</f>
        <v>1.5</v>
      </c>
      <c r="Q24" s="296">
        <f t="shared" ref="Q24:T24" si="70">Q23-0.5</f>
        <v>2.5</v>
      </c>
      <c r="R24" s="296">
        <f t="shared" si="70"/>
        <v>3.5</v>
      </c>
      <c r="S24" s="296">
        <f t="shared" si="70"/>
        <v>4.5</v>
      </c>
      <c r="T24" s="296">
        <f t="shared" si="70"/>
        <v>5.5</v>
      </c>
      <c r="U24" s="296">
        <f t="shared" ref="U24:AR24" si="71">U23-0.5</f>
        <v>6.5</v>
      </c>
      <c r="V24" s="296">
        <f t="shared" si="71"/>
        <v>7.5</v>
      </c>
      <c r="W24" s="296">
        <f t="shared" si="71"/>
        <v>8.5</v>
      </c>
      <c r="X24" s="296">
        <f t="shared" ref="X24:AC24" si="72">X23-0.5</f>
        <v>9.5</v>
      </c>
      <c r="Y24" s="296">
        <f t="shared" si="72"/>
        <v>10.5</v>
      </c>
      <c r="Z24" s="296">
        <f t="shared" si="72"/>
        <v>11.5</v>
      </c>
      <c r="AA24" s="296">
        <f t="shared" si="72"/>
        <v>12.5</v>
      </c>
      <c r="AB24" s="296">
        <f t="shared" si="72"/>
        <v>13.5</v>
      </c>
      <c r="AC24" s="296">
        <f t="shared" si="72"/>
        <v>14.5</v>
      </c>
      <c r="AD24" s="296">
        <f t="shared" si="71"/>
        <v>15.5</v>
      </c>
      <c r="AE24" s="296">
        <f t="shared" si="71"/>
        <v>16.5</v>
      </c>
      <c r="AF24" s="296">
        <f t="shared" si="71"/>
        <v>17.5</v>
      </c>
      <c r="AG24" s="296">
        <f t="shared" si="71"/>
        <v>18.5</v>
      </c>
      <c r="AH24" s="296">
        <f t="shared" si="71"/>
        <v>19.5</v>
      </c>
      <c r="AI24" s="296">
        <f t="shared" si="71"/>
        <v>20.5</v>
      </c>
      <c r="AJ24" s="296">
        <f t="shared" si="71"/>
        <v>21.5</v>
      </c>
      <c r="AK24" s="296">
        <f t="shared" si="71"/>
        <v>22.5</v>
      </c>
      <c r="AL24" s="296">
        <f t="shared" si="71"/>
        <v>23.5</v>
      </c>
      <c r="AM24" s="296">
        <f t="shared" si="71"/>
        <v>24.5</v>
      </c>
      <c r="AN24" s="296">
        <f t="shared" si="71"/>
        <v>25.5</v>
      </c>
      <c r="AO24" s="296">
        <f t="shared" si="71"/>
        <v>26.5</v>
      </c>
      <c r="AP24" s="296">
        <f t="shared" si="71"/>
        <v>27.5</v>
      </c>
      <c r="AQ24" s="296">
        <f t="shared" si="71"/>
        <v>28.5</v>
      </c>
      <c r="AR24" s="296">
        <f t="shared" si="71"/>
        <v>29.5</v>
      </c>
    </row>
  </sheetData>
  <sheetProtection algorithmName="SHA-512" hashValue="TIoKAY2K3DV0/vKIcZDMB4o6dl9VeM6TJn5mJOMof3WQTnorP1kZzXB+UXpLMIql4vwiXhEejaKDNh8RlKzVuQ==" saltValue="7L1b0AjCXeLEU3H4QteRTw==" spinCount="100000" sheet="1" scenarios="1" formatCells="0" formatColumns="0" formatRows="0" insertColumns="0" insertRows="0" deleteColumns="0" deleteRows="0" sort="0"/>
  <conditionalFormatting sqref="D20:AR20">
    <cfRule type="cellIs" dxfId="85" priority="1" operator="equal">
      <formula>"DELETE"</formula>
    </cfRule>
  </conditionalFormatting>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FFC000"/>
  </sheetPr>
  <dimension ref="A1:H64"/>
  <sheetViews>
    <sheetView showGridLines="0" zoomScaleNormal="100" workbookViewId="0">
      <selection activeCell="C14" sqref="C14"/>
    </sheetView>
  </sheetViews>
  <sheetFormatPr defaultColWidth="0" defaultRowHeight="10" zeroHeight="1"/>
  <cols>
    <col min="1" max="1" width="9.109375" customWidth="1"/>
    <col min="2" max="2" width="39.109375" customWidth="1"/>
    <col min="3" max="3" width="17.6640625" customWidth="1"/>
    <col min="4" max="4" width="113.6640625" customWidth="1"/>
    <col min="5" max="7" width="9.109375" customWidth="1"/>
    <col min="8" max="8" width="0" hidden="1" customWidth="1"/>
    <col min="9" max="16" width="9.109375" hidden="1" customWidth="1"/>
    <col min="17" max="16384" width="9.109375" hidden="1"/>
  </cols>
  <sheetData>
    <row r="1" spans="2:5" ht="27.5">
      <c r="B1" s="18" t="s">
        <v>161</v>
      </c>
    </row>
    <row r="2" spans="2:5"/>
    <row r="3" spans="2:5"/>
    <row r="4" spans="2:5"/>
    <row r="5" spans="2:5"/>
    <row r="6" spans="2:5"/>
    <row r="7" spans="2:5"/>
    <row r="8" spans="2:5">
      <c r="B8" s="46" t="s">
        <v>107</v>
      </c>
      <c r="C8" s="15" t="s">
        <v>145</v>
      </c>
      <c r="D8" s="62"/>
    </row>
    <row r="9" spans="2:5">
      <c r="B9" s="62"/>
      <c r="C9" s="62"/>
      <c r="D9" s="62"/>
    </row>
    <row r="10" spans="2:5" ht="10.5">
      <c r="B10" s="668" t="s">
        <v>151</v>
      </c>
      <c r="C10" s="669"/>
      <c r="D10" s="669"/>
    </row>
    <row r="11" spans="2:5" ht="10.5">
      <c r="B11" s="486" t="s">
        <v>152</v>
      </c>
      <c r="C11" s="487"/>
      <c r="D11" s="488" t="s">
        <v>211</v>
      </c>
    </row>
    <row r="12" spans="2:5">
      <c r="B12" s="489" t="s">
        <v>148</v>
      </c>
      <c r="C12" s="490">
        <f>IFERROR(VLOOKUP(ctry,'Comps'!$C$46:$E$54,3,FALSE),'Comps'!$E$54)</f>
        <v>2.2249600000000001E-2</v>
      </c>
      <c r="D12" s="158" t="s">
        <v>277</v>
      </c>
      <c r="E12" s="158"/>
    </row>
    <row r="13" spans="2:5">
      <c r="B13" s="489" t="s">
        <v>279</v>
      </c>
      <c r="C13" s="844">
        <v>4.1000000000000002E-2</v>
      </c>
      <c r="D13" s="158" t="s">
        <v>553</v>
      </c>
      <c r="E13" s="158"/>
    </row>
    <row r="14" spans="2:5">
      <c r="B14" s="489" t="s">
        <v>103</v>
      </c>
      <c r="C14" s="491">
        <f>'Comps'!K29</f>
        <v>1.2046300000000001</v>
      </c>
      <c r="D14" s="158" t="s">
        <v>153</v>
      </c>
      <c r="E14" s="158"/>
    </row>
    <row r="15" spans="2:5">
      <c r="B15" s="489" t="s">
        <v>154</v>
      </c>
      <c r="C15" s="491">
        <f>C14*(1+((1-tax)*C27))</f>
        <v>1.4120913645179984</v>
      </c>
      <c r="D15" s="158"/>
      <c r="E15" s="158"/>
    </row>
    <row r="16" spans="2:5">
      <c r="B16" s="489" t="s">
        <v>155</v>
      </c>
      <c r="C16" s="844">
        <v>0</v>
      </c>
      <c r="D16" s="158" t="s">
        <v>554</v>
      </c>
      <c r="E16" s="158"/>
    </row>
    <row r="17" spans="2:5">
      <c r="B17" s="489" t="s">
        <v>24</v>
      </c>
      <c r="C17" s="492">
        <f>'Size Premium'!F23</f>
        <v>4.99E-2</v>
      </c>
      <c r="D17" s="158" t="s">
        <v>212</v>
      </c>
      <c r="E17" s="158"/>
    </row>
    <row r="18" spans="2:5">
      <c r="B18" s="489" t="s">
        <v>309</v>
      </c>
      <c r="C18" s="646">
        <v>0</v>
      </c>
      <c r="D18" s="158" t="s">
        <v>384</v>
      </c>
      <c r="E18" s="158"/>
    </row>
    <row r="19" spans="2:5" ht="10.5">
      <c r="B19" s="670" t="s">
        <v>156</v>
      </c>
      <c r="C19" s="671">
        <f>C12+C15*C13+C16+C17+C18</f>
        <v>0.13004534594523792</v>
      </c>
      <c r="D19" s="158"/>
      <c r="E19" s="158"/>
    </row>
    <row r="20" spans="2:5">
      <c r="B20" s="62"/>
      <c r="C20" s="139"/>
      <c r="D20" s="158"/>
      <c r="E20" s="158"/>
    </row>
    <row r="21" spans="2:5" ht="10.5">
      <c r="B21" s="486" t="s">
        <v>157</v>
      </c>
      <c r="C21" s="493"/>
      <c r="D21" s="158"/>
      <c r="E21" s="158"/>
    </row>
    <row r="22" spans="2:5">
      <c r="B22" s="489" t="s">
        <v>383</v>
      </c>
      <c r="C22" s="646">
        <v>7.0000000000000007E-2</v>
      </c>
      <c r="D22" s="495" t="s">
        <v>555</v>
      </c>
      <c r="E22" s="159"/>
    </row>
    <row r="23" spans="2:5">
      <c r="B23" s="489" t="s">
        <v>61</v>
      </c>
      <c r="C23" s="490">
        <f>tax</f>
        <v>0.25</v>
      </c>
      <c r="D23" s="496"/>
      <c r="E23" s="158"/>
    </row>
    <row r="24" spans="2:5" ht="10.5">
      <c r="B24" s="670" t="s">
        <v>158</v>
      </c>
      <c r="C24" s="672">
        <f>SUM(C22:C22)*(1-tax)</f>
        <v>5.2500000000000005E-2</v>
      </c>
      <c r="D24" s="158"/>
      <c r="E24" s="158"/>
    </row>
    <row r="25" spans="2:5">
      <c r="B25" s="494"/>
      <c r="C25" s="493"/>
      <c r="D25" s="158"/>
      <c r="E25" s="158"/>
    </row>
    <row r="26" spans="2:5" ht="10.5">
      <c r="B26" s="486" t="s">
        <v>159</v>
      </c>
      <c r="C26" s="493"/>
      <c r="D26" s="158"/>
      <c r="E26" s="158"/>
    </row>
    <row r="27" spans="2:5">
      <c r="B27" s="489" t="s">
        <v>160</v>
      </c>
      <c r="C27" s="490">
        <f>'Comps'!I29</f>
        <v>0.22962665108013608</v>
      </c>
      <c r="D27" s="158" t="s">
        <v>278</v>
      </c>
      <c r="E27" s="158"/>
    </row>
    <row r="28" spans="2:5">
      <c r="B28" s="489" t="s">
        <v>127</v>
      </c>
      <c r="C28" s="490">
        <f>1/(C27+1)</f>
        <v>0.81325498200740354</v>
      </c>
      <c r="D28" s="497"/>
    </row>
    <row r="29" spans="2:5">
      <c r="B29" s="489" t="s">
        <v>128</v>
      </c>
      <c r="C29" s="490">
        <f>1-C28</f>
        <v>0.18674501799259646</v>
      </c>
      <c r="D29" s="497"/>
    </row>
    <row r="30" spans="2:5" ht="11" thickBot="1">
      <c r="B30" s="673" t="s">
        <v>161</v>
      </c>
      <c r="C30" s="674">
        <f>C28*C19+C24*C29</f>
        <v>0.11556413892145234</v>
      </c>
      <c r="D30" s="354"/>
    </row>
    <row r="31" spans="2:5">
      <c r="B31" s="675" t="s">
        <v>391</v>
      </c>
      <c r="C31" s="62"/>
      <c r="D31" s="45"/>
    </row>
    <row r="32" spans="2:5"/>
    <row r="33"/>
    <row r="34"/>
    <row r="35"/>
    <row r="36"/>
    <row r="37"/>
    <row r="38"/>
    <row r="39"/>
    <row r="40"/>
    <row r="41"/>
    <row r="42"/>
    <row r="43"/>
    <row r="44"/>
    <row r="50"/>
    <row r="51"/>
    <row r="52"/>
    <row r="53"/>
    <row r="54"/>
    <row r="55"/>
    <row r="56"/>
    <row r="57"/>
    <row r="58"/>
    <row r="59"/>
    <row r="60"/>
    <row r="61"/>
    <row r="62"/>
    <row r="63"/>
    <row r="64"/>
  </sheetData>
  <conditionalFormatting sqref="B31">
    <cfRule type="cellIs" dxfId="84" priority="1" operator="equal">
      <formula>0</formula>
    </cfRule>
  </conditionalFormatting>
  <dataValidations count="3">
    <dataValidation allowBlank="1" showInputMessage="1" showErrorMessage="1" prompt="(1) Median D/E Ratio of Comps_x000a_(2) Target capital structure of the Company" sqref="C27" xr:uid="{00000000-0002-0000-0D00-000000000000}"/>
    <dataValidation allowBlank="1" showInputMessage="1" showErrorMessage="1" prompt="(1) YTM of the Company's listed bond_x000a_(2) Altman Adjusted Z'' Model - Bloomberg USD Corporate Curve Z spread (CMX)" sqref="C22" xr:uid="{00000000-0002-0000-0D00-000002000000}"/>
    <dataValidation allowBlank="1" showInputMessage="1" showErrorMessage="1" prompt="= country 10 year gov bond yield if AAA rated._x000a_= US 10 yr gov bond yield if not AAA rated." sqref="C12" xr:uid="{00000000-0002-0000-0D00-000003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C0E9998-F450-42FB-999D-AED2ED6EBE16}">
          <x14:formula1>
            <xm:f>'Comps'!$C$46:$C$54</xm:f>
          </x14:formula1>
          <xm:sqref>C8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tabColor rgb="FFFFC000"/>
  </sheetPr>
  <dimension ref="A1:T75"/>
  <sheetViews>
    <sheetView showGridLines="0" zoomScale="115" zoomScaleNormal="115" workbookViewId="0">
      <selection activeCell="F19" sqref="F19"/>
    </sheetView>
  </sheetViews>
  <sheetFormatPr defaultColWidth="0" defaultRowHeight="10" outlineLevelRow="1"/>
  <cols>
    <col min="1" max="1" width="10.44140625" style="191" bestFit="1" customWidth="1"/>
    <col min="2" max="2" width="26.33203125" style="191" customWidth="1"/>
    <col min="3" max="3" width="12.6640625" style="192" customWidth="1"/>
    <col min="4" max="18" width="12.6640625" style="191" customWidth="1"/>
    <col min="19" max="20" width="9.109375" style="191" customWidth="1"/>
    <col min="21" max="16384" width="9.109375" style="191" hidden="1"/>
  </cols>
  <sheetData>
    <row r="1" spans="2:18" ht="27.5">
      <c r="B1" s="199" t="s">
        <v>41</v>
      </c>
    </row>
    <row r="2" spans="2:18">
      <c r="C2" s="191"/>
    </row>
    <row r="3" spans="2:18">
      <c r="C3" s="191"/>
    </row>
    <row r="4" spans="2:18">
      <c r="C4" s="191"/>
    </row>
    <row r="5" spans="2:18">
      <c r="C5" s="191"/>
    </row>
    <row r="6" spans="2:18">
      <c r="C6" s="191"/>
    </row>
    <row r="7" spans="2:18">
      <c r="C7" s="191"/>
    </row>
    <row r="8" spans="2:18">
      <c r="C8" s="191"/>
    </row>
    <row r="9" spans="2:18">
      <c r="C9" s="191"/>
    </row>
    <row r="10" spans="2:18" ht="19">
      <c r="B10" s="200" t="s">
        <v>261</v>
      </c>
      <c r="C10" s="191"/>
    </row>
    <row r="11" spans="2:18">
      <c r="B11" s="503" t="s">
        <v>222</v>
      </c>
      <c r="C11" s="507">
        <v>1</v>
      </c>
      <c r="D11" s="503"/>
      <c r="E11" s="503" t="s">
        <v>233</v>
      </c>
      <c r="F11" s="508" t="s">
        <v>234</v>
      </c>
      <c r="G11" s="503"/>
      <c r="H11" s="23" t="s">
        <v>256</v>
      </c>
      <c r="I11" s="503"/>
      <c r="J11" s="503"/>
    </row>
    <row r="12" spans="2:18">
      <c r="B12" s="503" t="s">
        <v>214</v>
      </c>
      <c r="C12" s="758" t="str">
        <f>Forecast!D13</f>
        <v>Y</v>
      </c>
      <c r="D12" s="503"/>
      <c r="E12" s="503" t="s">
        <v>217</v>
      </c>
      <c r="F12" s="534" t="s">
        <v>288</v>
      </c>
      <c r="G12" s="759">
        <f>IF(F12="Gordon",A33,"")</f>
        <v>16</v>
      </c>
      <c r="H12" s="23"/>
      <c r="I12" s="503"/>
      <c r="J12" s="503"/>
    </row>
    <row r="13" spans="2:18">
      <c r="B13" s="503" t="s">
        <v>216</v>
      </c>
      <c r="C13" s="756">
        <f>C0!O17</f>
        <v>12</v>
      </c>
      <c r="D13" s="503"/>
      <c r="E13" s="503" t="s">
        <v>227</v>
      </c>
      <c r="F13" s="509">
        <v>0.02</v>
      </c>
      <c r="G13" s="503"/>
      <c r="H13" s="23" t="s">
        <v>257</v>
      </c>
      <c r="I13" s="503"/>
      <c r="J13" s="503"/>
    </row>
    <row r="14" spans="2:18" ht="10.5">
      <c r="B14" s="503" t="s">
        <v>262</v>
      </c>
      <c r="C14" s="855">
        <v>2</v>
      </c>
      <c r="D14" s="503"/>
      <c r="E14" s="503" t="s">
        <v>285</v>
      </c>
      <c r="F14" s="508" t="s">
        <v>241</v>
      </c>
      <c r="G14" s="510"/>
      <c r="H14" s="23" t="s">
        <v>286</v>
      </c>
      <c r="I14" s="503"/>
      <c r="J14" s="503"/>
    </row>
    <row r="15" spans="2:18">
      <c r="B15" s="503"/>
      <c r="C15" s="505"/>
      <c r="D15" s="503"/>
      <c r="E15" s="503" t="s">
        <v>310</v>
      </c>
      <c r="F15" s="757">
        <v>1</v>
      </c>
      <c r="G15" s="510"/>
      <c r="H15" s="511" t="str">
        <f>IF(F15=1,"Difference between YTD and full year","Pro-rate full year forecast")</f>
        <v>Difference between YTD and full year</v>
      </c>
      <c r="I15" s="512"/>
      <c r="J15" s="513"/>
    </row>
    <row r="16" spans="2:18">
      <c r="B16" s="201" t="s">
        <v>108</v>
      </c>
      <c r="C16" s="201">
        <f>IF($C$12="Y",0,-1)</f>
        <v>0</v>
      </c>
      <c r="D16" s="274">
        <f>C16+1</f>
        <v>1</v>
      </c>
      <c r="E16" s="274">
        <f t="shared" ref="E16:R16" si="0">D16+1</f>
        <v>2</v>
      </c>
      <c r="F16" s="274">
        <f t="shared" si="0"/>
        <v>3</v>
      </c>
      <c r="G16" s="274">
        <f t="shared" si="0"/>
        <v>4</v>
      </c>
      <c r="H16" s="274">
        <f t="shared" si="0"/>
        <v>5</v>
      </c>
      <c r="I16" s="274">
        <f t="shared" si="0"/>
        <v>6</v>
      </c>
      <c r="J16" s="274">
        <f t="shared" si="0"/>
        <v>7</v>
      </c>
      <c r="K16" s="274">
        <f t="shared" si="0"/>
        <v>8</v>
      </c>
      <c r="L16" s="274">
        <f t="shared" si="0"/>
        <v>9</v>
      </c>
      <c r="M16" s="274">
        <f t="shared" si="0"/>
        <v>10</v>
      </c>
      <c r="N16" s="274">
        <f t="shared" si="0"/>
        <v>11</v>
      </c>
      <c r="O16" s="274">
        <f t="shared" si="0"/>
        <v>12</v>
      </c>
      <c r="P16" s="274">
        <f t="shared" si="0"/>
        <v>13</v>
      </c>
      <c r="Q16" s="274">
        <f t="shared" si="0"/>
        <v>14</v>
      </c>
      <c r="R16" s="274">
        <f t="shared" si="0"/>
        <v>15</v>
      </c>
    </row>
    <row r="17" spans="1:18" ht="10.5">
      <c r="A17" s="201" t="s">
        <v>237</v>
      </c>
      <c r="B17" s="676" t="str">
        <f>"DCF Model - Scenario "&amp;case</f>
        <v>DCF Model - Scenario 1</v>
      </c>
      <c r="C17" s="676"/>
      <c r="D17" s="683"/>
      <c r="E17" s="683"/>
      <c r="F17" s="683"/>
      <c r="G17" s="683"/>
      <c r="H17" s="683"/>
      <c r="I17" s="683"/>
      <c r="J17" s="683"/>
      <c r="K17" s="683"/>
      <c r="L17" s="683"/>
      <c r="M17" s="683"/>
      <c r="N17" s="683"/>
      <c r="O17" s="683"/>
      <c r="P17" s="683"/>
      <c r="Q17" s="683"/>
      <c r="R17" s="683"/>
    </row>
    <row r="18" spans="1:18" ht="10.5">
      <c r="A18" s="201">
        <v>1</v>
      </c>
      <c r="B18" s="498" t="str">
        <f>Historicals!B15</f>
        <v>(USD k)</v>
      </c>
      <c r="C18" s="499"/>
      <c r="D18" s="514" t="str">
        <f>IF(D16&gt;Input!$D$14,"TV",C0!O21)</f>
        <v>FY26F</v>
      </c>
      <c r="E18" s="514" t="str">
        <f>IF(E16&gt;Input!$D$14,"TV",C0!P21)</f>
        <v>FY27F</v>
      </c>
      <c r="F18" s="514" t="str">
        <f>IF(F16&gt;Input!$D$14,"TV",C0!Q21)</f>
        <v>FY28F</v>
      </c>
      <c r="G18" s="514" t="str">
        <f>IF(G16&gt;Input!$D$14,"TV",C0!R21)</f>
        <v>FY29F</v>
      </c>
      <c r="H18" s="514" t="str">
        <f>IF(H16&gt;Input!$D$14,"TV",C0!S21)</f>
        <v>FY30F</v>
      </c>
      <c r="I18" s="514" t="str">
        <f>IF(I16&gt;Input!$D$14,"TV",C0!T21)</f>
        <v>TV</v>
      </c>
      <c r="J18" s="514" t="str">
        <f>IF(J16&gt;Input!$D$14,"TV",C0!U21)</f>
        <v>TV</v>
      </c>
      <c r="K18" s="514" t="str">
        <f>IF(K16&gt;Input!$D$14,"TV",C0!V21)</f>
        <v>TV</v>
      </c>
      <c r="L18" s="514" t="str">
        <f>IF(L16&gt;Input!$D$14,"TV",C0!W21)</f>
        <v>TV</v>
      </c>
      <c r="M18" s="514" t="str">
        <f>IF(M16&gt;Input!$D$14,"TV",C0!X21)</f>
        <v>TV</v>
      </c>
      <c r="N18" s="514" t="str">
        <f>IF(N16&gt;Input!$D$14,"TV",C0!Y21)</f>
        <v>TV</v>
      </c>
      <c r="O18" s="514" t="str">
        <f>IF(O16&gt;Input!$D$14,"TV",C0!Z21)</f>
        <v>TV</v>
      </c>
      <c r="P18" s="514" t="str">
        <f>IF(P16&gt;Input!$D$14,"TV",C0!AA21)</f>
        <v>TV</v>
      </c>
      <c r="Q18" s="514" t="str">
        <f>IF(Q16&gt;Input!$D$14,"TV",C0!AB21)</f>
        <v>TV</v>
      </c>
      <c r="R18" s="514" t="str">
        <f>IF(R16&gt;Input!$D$14,"TV",C0!AC21)</f>
        <v>TV</v>
      </c>
    </row>
    <row r="19" spans="1:18">
      <c r="A19" s="201">
        <v>2</v>
      </c>
      <c r="B19" s="500" t="s">
        <v>58</v>
      </c>
      <c r="C19" s="505"/>
      <c r="D19" s="515">
        <f>IF(C12="Y",Forecast!D35,IF(F15=1,Forecast!D35-Historicals!N34,Forecast!D35*C13/12))</f>
        <v>0</v>
      </c>
      <c r="E19" s="515">
        <f>IF(E$18="TV",D19*(1+$C$33),Forecast!E35)</f>
        <v>0</v>
      </c>
      <c r="F19" s="515">
        <f>IF(F$18="TV",E19*(1+$C$33),Forecast!F35)</f>
        <v>0</v>
      </c>
      <c r="G19" s="515">
        <f>IF(G$18="TV",F19*(1+$C$33),Forecast!G35)</f>
        <v>0</v>
      </c>
      <c r="H19" s="515">
        <f>IF(H$18="TV",G19*(1+$C$33),Forecast!H35)</f>
        <v>0</v>
      </c>
      <c r="I19" s="515">
        <f ca="1">IF(I$18="TV",H19*(1+$C$33),Forecast!I35)</f>
        <v>0</v>
      </c>
      <c r="J19" s="515">
        <f ca="1">IF(J$18="TV",I19*(1+$C$33),Forecast!J35)</f>
        <v>0</v>
      </c>
      <c r="K19" s="515">
        <f ca="1">IF(K$18="TV",J19*(1+$C$33),Forecast!K35)</f>
        <v>0</v>
      </c>
      <c r="L19" s="515">
        <f ca="1">IF(L$18="TV",K19*(1+$C$33),Forecast!L35)</f>
        <v>0</v>
      </c>
      <c r="M19" s="515">
        <f ca="1">IF(M$18="TV",L19*(1+$C$33),Forecast!M35)</f>
        <v>0</v>
      </c>
      <c r="N19" s="515">
        <f ca="1">IF(N$18="TV",M19*(1+$C$33),Forecast!N35)</f>
        <v>0</v>
      </c>
      <c r="O19" s="515">
        <f ca="1">IF(O$18="TV",N19*(1+$C$33),Forecast!O35)</f>
        <v>0</v>
      </c>
      <c r="P19" s="515">
        <f ca="1">IF(P$18="TV",O19*(1+$C$33),Forecast!Q35)</f>
        <v>0</v>
      </c>
      <c r="Q19" s="515">
        <f ca="1">IF(Q$18="TV",P19*(1+$C$33),Forecast!R35)</f>
        <v>0</v>
      </c>
      <c r="R19" s="515">
        <f ca="1">IF(R$18="TV",Q19*(1+$C$33),Forecast!S35)</f>
        <v>0</v>
      </c>
    </row>
    <row r="20" spans="1:18">
      <c r="A20" s="201">
        <v>3</v>
      </c>
      <c r="B20" s="500" t="s">
        <v>59</v>
      </c>
      <c r="C20" s="505"/>
      <c r="D20" s="515">
        <f>IF(C12="Y",Forecast!D31,IF(F15=1,Forecast!D31-Historicals!N30,Forecast!D31*C13/12))</f>
        <v>0</v>
      </c>
      <c r="E20" s="515">
        <f>IF(E$18="TV",D20*(1+$C$33),Forecast!E31)</f>
        <v>0</v>
      </c>
      <c r="F20" s="515">
        <f>IF(F$18="TV",E20*(1+$C$33),Forecast!F31)</f>
        <v>0</v>
      </c>
      <c r="G20" s="515">
        <f>IF(G$18="TV",F20*(1+$C$33),Forecast!G31)</f>
        <v>0</v>
      </c>
      <c r="H20" s="515">
        <f>IF(H$18="TV",G20*(1+$C$33),Forecast!H31)</f>
        <v>0</v>
      </c>
      <c r="I20" s="515">
        <f ca="1">IF(I$18="TV",H20*(1+$C$33),Forecast!I31)</f>
        <v>0</v>
      </c>
      <c r="J20" s="515">
        <f ca="1">IF(J$18="TV",I20*(1+$C$33),Forecast!J31)</f>
        <v>0</v>
      </c>
      <c r="K20" s="515">
        <f ca="1">IF(K$18="TV",J20*(1+$C$33),Forecast!K31)</f>
        <v>0</v>
      </c>
      <c r="L20" s="515">
        <f ca="1">IF(L$18="TV",K20*(1+$C$33),Forecast!L31)</f>
        <v>0</v>
      </c>
      <c r="M20" s="515">
        <f ca="1">IF(M$18="TV",L20*(1+$C$33),Forecast!M31)</f>
        <v>0</v>
      </c>
      <c r="N20" s="515">
        <f ca="1">IF(N$18="TV",M20*(1+$C$33),Forecast!N31)</f>
        <v>0</v>
      </c>
      <c r="O20" s="515">
        <f ca="1">IF(O$18="TV",N20*(1+$C$33),Forecast!O31)</f>
        <v>0</v>
      </c>
      <c r="P20" s="515">
        <f ca="1">IF(P$18="TV",O20*(1+$C$33),Forecast!Q31)</f>
        <v>0</v>
      </c>
      <c r="Q20" s="515">
        <f ca="1">IF(Q$18="TV",P20*(1+$C$33),Forecast!R31)</f>
        <v>0</v>
      </c>
      <c r="R20" s="515">
        <f ca="1">IF(R$18="TV",Q20*(1+$C$33),Forecast!S31)</f>
        <v>0</v>
      </c>
    </row>
    <row r="21" spans="1:18">
      <c r="A21" s="201">
        <v>4</v>
      </c>
      <c r="B21" s="500" t="s">
        <v>235</v>
      </c>
      <c r="C21" s="516">
        <f>tax</f>
        <v>0.25</v>
      </c>
      <c r="D21" s="515">
        <f t="shared" ref="D21:R21" si="1">-MAX((D20-C22)*tax,0)</f>
        <v>0</v>
      </c>
      <c r="E21" s="515">
        <f t="shared" si="1"/>
        <v>0</v>
      </c>
      <c r="F21" s="515">
        <f t="shared" si="1"/>
        <v>0</v>
      </c>
      <c r="G21" s="515">
        <f t="shared" si="1"/>
        <v>0</v>
      </c>
      <c r="H21" s="515">
        <f t="shared" si="1"/>
        <v>0</v>
      </c>
      <c r="I21" s="515">
        <f t="shared" ca="1" si="1"/>
        <v>0</v>
      </c>
      <c r="J21" s="515">
        <f t="shared" ca="1" si="1"/>
        <v>0</v>
      </c>
      <c r="K21" s="515">
        <f t="shared" ca="1" si="1"/>
        <v>0</v>
      </c>
      <c r="L21" s="515">
        <f t="shared" ca="1" si="1"/>
        <v>0</v>
      </c>
      <c r="M21" s="515">
        <f t="shared" ca="1" si="1"/>
        <v>0</v>
      </c>
      <c r="N21" s="515">
        <f t="shared" ca="1" si="1"/>
        <v>0</v>
      </c>
      <c r="O21" s="515">
        <f t="shared" ca="1" si="1"/>
        <v>0</v>
      </c>
      <c r="P21" s="515">
        <f t="shared" ca="1" si="1"/>
        <v>0</v>
      </c>
      <c r="Q21" s="515">
        <f t="shared" ca="1" si="1"/>
        <v>0</v>
      </c>
      <c r="R21" s="515">
        <f t="shared" ca="1" si="1"/>
        <v>0</v>
      </c>
    </row>
    <row r="22" spans="1:18">
      <c r="A22" s="204">
        <v>5</v>
      </c>
      <c r="B22" s="517" t="s">
        <v>287</v>
      </c>
      <c r="C22" s="518">
        <v>0</v>
      </c>
      <c r="D22" s="519">
        <f t="shared" ref="D22:R22" si="2">IF($F$14="Y",MAX(C22-D19,0),0)</f>
        <v>0</v>
      </c>
      <c r="E22" s="519">
        <f t="shared" si="2"/>
        <v>0</v>
      </c>
      <c r="F22" s="519">
        <f t="shared" si="2"/>
        <v>0</v>
      </c>
      <c r="G22" s="519">
        <f t="shared" si="2"/>
        <v>0</v>
      </c>
      <c r="H22" s="519">
        <f t="shared" si="2"/>
        <v>0</v>
      </c>
      <c r="I22" s="519">
        <f t="shared" si="2"/>
        <v>0</v>
      </c>
      <c r="J22" s="519">
        <f t="shared" si="2"/>
        <v>0</v>
      </c>
      <c r="K22" s="519">
        <f t="shared" si="2"/>
        <v>0</v>
      </c>
      <c r="L22" s="519">
        <f t="shared" si="2"/>
        <v>0</v>
      </c>
      <c r="M22" s="519">
        <f t="shared" si="2"/>
        <v>0</v>
      </c>
      <c r="N22" s="519">
        <f t="shared" si="2"/>
        <v>0</v>
      </c>
      <c r="O22" s="519">
        <f t="shared" si="2"/>
        <v>0</v>
      </c>
      <c r="P22" s="519">
        <f t="shared" si="2"/>
        <v>0</v>
      </c>
      <c r="Q22" s="519">
        <f t="shared" si="2"/>
        <v>0</v>
      </c>
      <c r="R22" s="519">
        <f t="shared" si="2"/>
        <v>0</v>
      </c>
    </row>
    <row r="23" spans="1:18">
      <c r="A23" s="201">
        <v>6</v>
      </c>
      <c r="B23" s="500" t="s">
        <v>218</v>
      </c>
      <c r="C23" s="505"/>
      <c r="D23" s="515">
        <f>IF(C12="Y",(Forecast!D33+Forecast!D34),IF(F15=1,(Forecast!D33+Forecast!D34)-(Historicals!N32+Historicals!N33),(Forecast!D33+Forecast!D34)*C13/12))</f>
        <v>0</v>
      </c>
      <c r="E23" s="515">
        <f>IF(E$18="TV",D23*(1+$C$33),(Forecast!E33+Forecast!E34))</f>
        <v>0</v>
      </c>
      <c r="F23" s="515">
        <f>IF(F$18="TV",E23*(1+$C$33),(Forecast!F33+Forecast!F34))</f>
        <v>0</v>
      </c>
      <c r="G23" s="515">
        <f>IF(G$18="TV",F23*(1+$C$33),(Forecast!G33+Forecast!G34))</f>
        <v>0</v>
      </c>
      <c r="H23" s="515">
        <f>IF(H$18="TV",G23*(1+$C$33),(Forecast!H33+Forecast!H34))</f>
        <v>0</v>
      </c>
      <c r="I23" s="515">
        <f ca="1">IF(I$18="TV",H23*(1+$C$33),(Forecast!I33+Forecast!I34))</f>
        <v>0</v>
      </c>
      <c r="J23" s="515">
        <f ca="1">IF(J$18="TV",I23*(1+$C$33),(Forecast!J33+Forecast!J34))</f>
        <v>0</v>
      </c>
      <c r="K23" s="515">
        <f ca="1">IF(K$18="TV",J23*(1+$C$33),(Forecast!K33+Forecast!K34))</f>
        <v>0</v>
      </c>
      <c r="L23" s="515">
        <f ca="1">IF(L$18="TV",K23*(1+$C$33),(Forecast!L33+Forecast!L34))</f>
        <v>0</v>
      </c>
      <c r="M23" s="515">
        <f ca="1">IF(M$18="TV",L23*(1+$C$33),(Forecast!M33+Forecast!M34))</f>
        <v>0</v>
      </c>
      <c r="N23" s="515">
        <f ca="1">IF(N$18="TV",M23*(1+$C$33),(Forecast!N33+Forecast!N34))</f>
        <v>0</v>
      </c>
      <c r="O23" s="515">
        <f ca="1">IF(O$18="TV",N23*(1+$C$33),(Forecast!O33+Forecast!O34))</f>
        <v>0</v>
      </c>
      <c r="P23" s="515">
        <f ca="1">IF(P$18="TV",O23*(1+$C$33),(Forecast!P33+Forecast!P34))</f>
        <v>0</v>
      </c>
      <c r="Q23" s="515">
        <f ca="1">IF(Q$18="TV",P23*(1+$C$33),(Forecast!Q33+Forecast!Q34))</f>
        <v>0</v>
      </c>
      <c r="R23" s="515">
        <f ca="1">IF(R$18="TV",Q23*(1+$C$33),(Forecast!R33+Forecast!R34))</f>
        <v>0</v>
      </c>
    </row>
    <row r="24" spans="1:18" ht="10.5">
      <c r="A24" s="201">
        <v>7</v>
      </c>
      <c r="B24" s="680" t="s">
        <v>219</v>
      </c>
      <c r="C24" s="681"/>
      <c r="D24" s="684">
        <f>D20+D21+D23</f>
        <v>0</v>
      </c>
      <c r="E24" s="684">
        <f>E20+E21+E23</f>
        <v>0</v>
      </c>
      <c r="F24" s="684">
        <f t="shared" ref="F24:R24" si="3">F20+F21+F23</f>
        <v>0</v>
      </c>
      <c r="G24" s="684">
        <f t="shared" si="3"/>
        <v>0</v>
      </c>
      <c r="H24" s="684">
        <f t="shared" si="3"/>
        <v>0</v>
      </c>
      <c r="I24" s="684">
        <f t="shared" ca="1" si="3"/>
        <v>0</v>
      </c>
      <c r="J24" s="684">
        <f t="shared" ca="1" si="3"/>
        <v>0</v>
      </c>
      <c r="K24" s="684">
        <f t="shared" ca="1" si="3"/>
        <v>0</v>
      </c>
      <c r="L24" s="684">
        <f t="shared" ca="1" si="3"/>
        <v>0</v>
      </c>
      <c r="M24" s="684">
        <f t="shared" ca="1" si="3"/>
        <v>0</v>
      </c>
      <c r="N24" s="684">
        <f t="shared" ca="1" si="3"/>
        <v>0</v>
      </c>
      <c r="O24" s="684">
        <f t="shared" ca="1" si="3"/>
        <v>0</v>
      </c>
      <c r="P24" s="684">
        <f t="shared" ca="1" si="3"/>
        <v>0</v>
      </c>
      <c r="Q24" s="684">
        <f t="shared" ca="1" si="3"/>
        <v>0</v>
      </c>
      <c r="R24" s="684">
        <f t="shared" ca="1" si="3"/>
        <v>0</v>
      </c>
    </row>
    <row r="25" spans="1:18">
      <c r="A25" s="201">
        <v>8</v>
      </c>
      <c r="B25" s="503"/>
      <c r="C25" s="505"/>
      <c r="D25" s="520"/>
      <c r="E25" s="520"/>
      <c r="F25" s="520"/>
      <c r="G25" s="520"/>
      <c r="H25" s="520"/>
      <c r="I25" s="520"/>
      <c r="J25" s="520"/>
      <c r="K25" s="520"/>
      <c r="L25" s="520"/>
      <c r="M25" s="520"/>
      <c r="N25" s="520"/>
      <c r="O25" s="520"/>
      <c r="P25" s="520"/>
      <c r="Q25" s="520"/>
      <c r="R25" s="520"/>
    </row>
    <row r="26" spans="1:18">
      <c r="A26" s="201">
        <v>9</v>
      </c>
      <c r="B26" s="500" t="s">
        <v>132</v>
      </c>
      <c r="C26" s="505"/>
      <c r="D26" s="521">
        <f>IFERROR(IF(C12="Y",Forecast!D57,IF(F15=1,Forecast!D57-Historicals!N141,Forecast!D57*C13/12)),0)</f>
        <v>0</v>
      </c>
      <c r="E26" s="521">
        <f>IFERROR(IF(E$18="TV",-E23,Forecast!E57),0)</f>
        <v>0</v>
      </c>
      <c r="F26" s="521">
        <f>IFERROR(IF(F$18="TV",-F23,Forecast!F57),0)</f>
        <v>0</v>
      </c>
      <c r="G26" s="521">
        <f>IFERROR(IF(G$18="TV",-G23,Forecast!G57),0)</f>
        <v>0</v>
      </c>
      <c r="H26" s="521">
        <f>IFERROR(IF(H$18="TV",-H23,Forecast!H57),0)</f>
        <v>0</v>
      </c>
      <c r="I26" s="521">
        <f ca="1">IFERROR(IF(I$18="TV",-I23,Forecast!I57),0)</f>
        <v>0</v>
      </c>
      <c r="J26" s="521">
        <f ca="1">IFERROR(IF(J$18="TV",-J23,Forecast!J57),0)</f>
        <v>0</v>
      </c>
      <c r="K26" s="521">
        <f ca="1">IFERROR(IF(K$18="TV",-K23,Forecast!K57),0)</f>
        <v>0</v>
      </c>
      <c r="L26" s="521">
        <f ca="1">IFERROR(IF(L$18="TV",-L23,Forecast!L57),0)</f>
        <v>0</v>
      </c>
      <c r="M26" s="521">
        <f ca="1">IFERROR(IF(M$18="TV",-M23,Forecast!M57),0)</f>
        <v>0</v>
      </c>
      <c r="N26" s="521">
        <f ca="1">IFERROR(IF(N$18="TV",-N23,Forecast!N57),0)</f>
        <v>0</v>
      </c>
      <c r="O26" s="521">
        <f ca="1">IFERROR(IF(O$18="TV",-O23,Forecast!O57),0)</f>
        <v>0</v>
      </c>
      <c r="P26" s="521">
        <f ca="1">IFERROR(IF(P$18="TV",-P23,Forecast!P57),0)</f>
        <v>0</v>
      </c>
      <c r="Q26" s="521">
        <f ca="1">IFERROR(IF(Q$18="TV",-Q23,Forecast!Q57),0)</f>
        <v>0</v>
      </c>
      <c r="R26" s="521">
        <f ca="1">IFERROR(IF(R$18="TV",-R23,Forecast!R57),0)</f>
        <v>0</v>
      </c>
    </row>
    <row r="27" spans="1:18">
      <c r="A27" s="201">
        <v>10</v>
      </c>
      <c r="B27" s="500" t="s">
        <v>221</v>
      </c>
      <c r="C27" s="505"/>
      <c r="D27" s="521">
        <f>IFERROR(IF(D$18="TV",C27*(1+$C$33),Forecast!D58),"")</f>
        <v>0</v>
      </c>
      <c r="E27" s="521">
        <f>IFERROR(IF(E$18="TV",D27*(1+$C$33),Forecast!E58),"")</f>
        <v>0</v>
      </c>
      <c r="F27" s="521">
        <f>IFERROR(IF(F$18="TV",E27*(1+$C$33),Forecast!F58),"")</f>
        <v>0</v>
      </c>
      <c r="G27" s="521">
        <f>IFERROR(IF(G$18="TV",F27*(1+$C$33),Forecast!G58),"")</f>
        <v>0</v>
      </c>
      <c r="H27" s="521">
        <f>IFERROR(IF(H$18="TV",G27*(1+$C$33),Forecast!H58),"")</f>
        <v>0</v>
      </c>
      <c r="I27" s="521">
        <f ca="1">IFERROR(IF(I$18="TV",H27*(1+$C$33),Forecast!I58),"")</f>
        <v>0</v>
      </c>
      <c r="J27" s="521">
        <f ca="1">IFERROR(IF(J$18="TV",I27*(1+$C$33),Forecast!J58),"")</f>
        <v>0</v>
      </c>
      <c r="K27" s="521">
        <f ca="1">IFERROR(IF(K$18="TV",J27*(1+$C$33),Forecast!K58),"")</f>
        <v>0</v>
      </c>
      <c r="L27" s="521">
        <f ca="1">IFERROR(IF(L$18="TV",K27*(1+$C$33),Forecast!L58),"")</f>
        <v>0</v>
      </c>
      <c r="M27" s="521">
        <f ca="1">IFERROR(IF(M$18="TV",L27*(1+$C$33),Forecast!M58),"")</f>
        <v>0</v>
      </c>
      <c r="N27" s="521">
        <f ca="1">IFERROR(IF(N$18="TV",M27*(1+$C$33),Forecast!N58),"")</f>
        <v>0</v>
      </c>
      <c r="O27" s="521">
        <f ca="1">IFERROR(IF(O$18="TV",N27*(1+$C$33),Forecast!O58),"")</f>
        <v>0</v>
      </c>
      <c r="P27" s="521">
        <f ca="1">IFERROR(IF(P$18="TV",O27*(1+$C$33),Forecast!P58),"")</f>
        <v>0</v>
      </c>
      <c r="Q27" s="521">
        <f ca="1">IFERROR(IF(Q$18="TV",P27*(1+$C$33),Forecast!Q58),"")</f>
        <v>0</v>
      </c>
      <c r="R27" s="521">
        <f ca="1">IFERROR(IF(R$18="TV",Q27*(1+$C$33),Forecast!R58),"")</f>
        <v>0</v>
      </c>
    </row>
    <row r="28" spans="1:18" ht="10.5">
      <c r="A28" s="201">
        <v>11</v>
      </c>
      <c r="B28" s="680" t="s">
        <v>223</v>
      </c>
      <c r="C28" s="681"/>
      <c r="D28" s="684">
        <f t="shared" ref="D28:R28" si="4">SUM(D24:D27)</f>
        <v>0</v>
      </c>
      <c r="E28" s="684">
        <f t="shared" si="4"/>
        <v>0</v>
      </c>
      <c r="F28" s="684">
        <f t="shared" si="4"/>
        <v>0</v>
      </c>
      <c r="G28" s="684">
        <f t="shared" si="4"/>
        <v>0</v>
      </c>
      <c r="H28" s="684">
        <f t="shared" si="4"/>
        <v>0</v>
      </c>
      <c r="I28" s="684">
        <f t="shared" ca="1" si="4"/>
        <v>0</v>
      </c>
      <c r="J28" s="684">
        <f t="shared" ca="1" si="4"/>
        <v>0</v>
      </c>
      <c r="K28" s="684">
        <f t="shared" ca="1" si="4"/>
        <v>0</v>
      </c>
      <c r="L28" s="684">
        <f t="shared" ca="1" si="4"/>
        <v>0</v>
      </c>
      <c r="M28" s="684">
        <f t="shared" ca="1" si="4"/>
        <v>0</v>
      </c>
      <c r="N28" s="684">
        <f t="shared" ca="1" si="4"/>
        <v>0</v>
      </c>
      <c r="O28" s="684">
        <f t="shared" ca="1" si="4"/>
        <v>0</v>
      </c>
      <c r="P28" s="684">
        <f t="shared" ca="1" si="4"/>
        <v>0</v>
      </c>
      <c r="Q28" s="684">
        <f t="shared" ca="1" si="4"/>
        <v>0</v>
      </c>
      <c r="R28" s="684">
        <f t="shared" ca="1" si="4"/>
        <v>0</v>
      </c>
    </row>
    <row r="29" spans="1:18">
      <c r="A29" s="201">
        <v>12</v>
      </c>
      <c r="B29" s="500" t="s">
        <v>236</v>
      </c>
      <c r="C29" s="505"/>
      <c r="D29" s="522">
        <f>IF(D18="TV",C0!N23,C0!O24)</f>
        <v>0.5</v>
      </c>
      <c r="E29" s="522">
        <f>IF(E18="TV",C0!O23,C0!P24)</f>
        <v>1.5</v>
      </c>
      <c r="F29" s="522">
        <f>IF(F18="TV",C0!P23,C0!Q24)</f>
        <v>2.5</v>
      </c>
      <c r="G29" s="522">
        <f>IF(G18="TV",C0!Q23,C0!R24)</f>
        <v>3.5</v>
      </c>
      <c r="H29" s="522">
        <f>IF(H18="TV",C0!R23,C0!S24)</f>
        <v>4.5</v>
      </c>
      <c r="I29" s="522">
        <f>IF(I18="TV",C0!S23,C0!T24)</f>
        <v>5</v>
      </c>
      <c r="J29" s="522">
        <f>IF(J18="TV",C0!T23,C0!U24)</f>
        <v>6</v>
      </c>
      <c r="K29" s="522">
        <f>IF(K18="TV",C0!U23,C0!V24)</f>
        <v>7</v>
      </c>
      <c r="L29" s="522">
        <f>IF(L18="TV",C0!V23,C0!W24)</f>
        <v>8</v>
      </c>
      <c r="M29" s="522">
        <f>IF(M18="TV",C0!W23,C0!X24)</f>
        <v>9</v>
      </c>
      <c r="N29" s="522">
        <f>IF(N18="TV",C0!X23,C0!Y24)</f>
        <v>10</v>
      </c>
      <c r="O29" s="522">
        <f>IF(O18="TV",C0!Y23,C0!Z24)</f>
        <v>11</v>
      </c>
      <c r="P29" s="522">
        <f>IF(P18="TV",C0!Z23,C0!AA24)</f>
        <v>12</v>
      </c>
      <c r="Q29" s="522">
        <f>IF(Q18="TV",C0!AA23,C0!AB24)</f>
        <v>13</v>
      </c>
      <c r="R29" s="522">
        <f>IF(R18="TV",C0!AB23,C0!AC24)</f>
        <v>14</v>
      </c>
    </row>
    <row r="30" spans="1:18">
      <c r="A30" s="208">
        <v>13</v>
      </c>
      <c r="B30" s="500" t="s">
        <v>225</v>
      </c>
      <c r="C30" s="516">
        <f ca="1">IFERROR(OFFSET($C$58,0,$C$14),"")</f>
        <v>0.11556413892145234</v>
      </c>
      <c r="D30" s="522">
        <f ca="1">IFERROR(1/(1+$C$30)^D29,"")</f>
        <v>0.94678796224098405</v>
      </c>
      <c r="E30" s="522">
        <f t="shared" ref="E30:R30" ca="1" si="5">IFERROR(1/(1+$C$30)^E29,"")</f>
        <v>0.84870777860998281</v>
      </c>
      <c r="F30" s="522">
        <f t="shared" ca="1" si="5"/>
        <v>0.76078797175259583</v>
      </c>
      <c r="G30" s="522">
        <f t="shared" ca="1" si="5"/>
        <v>0.68197600228359756</v>
      </c>
      <c r="H30" s="522">
        <f t="shared" ca="1" si="5"/>
        <v>0.6113283660614478</v>
      </c>
      <c r="I30" s="522">
        <f t="shared" ca="1" si="5"/>
        <v>0.57879833796342861</v>
      </c>
      <c r="J30" s="522">
        <f t="shared" ca="1" si="5"/>
        <v>0.5188391395612818</v>
      </c>
      <c r="K30" s="522">
        <f t="shared" ca="1" si="5"/>
        <v>0.4650912676907174</v>
      </c>
      <c r="L30" s="522">
        <f t="shared" ca="1" si="5"/>
        <v>0.41691127516914994</v>
      </c>
      <c r="M30" s="522">
        <f t="shared" ca="1" si="5"/>
        <v>0.37372237115135964</v>
      </c>
      <c r="N30" s="522">
        <f t="shared" ca="1" si="5"/>
        <v>0.33500751602922729</v>
      </c>
      <c r="O30" s="522">
        <f t="shared" ca="1" si="5"/>
        <v>0.3003032316484453</v>
      </c>
      <c r="P30" s="522">
        <f t="shared" ca="1" si="5"/>
        <v>0.2691940527406913</v>
      </c>
      <c r="Q30" s="522">
        <f t="shared" ca="1" si="5"/>
        <v>0.24130755314611763</v>
      </c>
      <c r="R30" s="522">
        <f t="shared" ca="1" si="5"/>
        <v>0.21630988728215855</v>
      </c>
    </row>
    <row r="31" spans="1:18" ht="10.5">
      <c r="A31" s="201">
        <v>14</v>
      </c>
      <c r="B31" s="680" t="s">
        <v>224</v>
      </c>
      <c r="C31" s="681"/>
      <c r="D31" s="684">
        <f t="shared" ref="D31:R31" ca="1" si="6">IFERROR(IF(D18="TV",0,D30*D28),"")</f>
        <v>0</v>
      </c>
      <c r="E31" s="684">
        <f t="shared" ca="1" si="6"/>
        <v>0</v>
      </c>
      <c r="F31" s="684">
        <f t="shared" ca="1" si="6"/>
        <v>0</v>
      </c>
      <c r="G31" s="684">
        <f t="shared" ca="1" si="6"/>
        <v>0</v>
      </c>
      <c r="H31" s="684">
        <f t="shared" ca="1" si="6"/>
        <v>0</v>
      </c>
      <c r="I31" s="684">
        <f t="shared" si="6"/>
        <v>0</v>
      </c>
      <c r="J31" s="684">
        <f t="shared" si="6"/>
        <v>0</v>
      </c>
      <c r="K31" s="684">
        <f t="shared" si="6"/>
        <v>0</v>
      </c>
      <c r="L31" s="684">
        <f t="shared" si="6"/>
        <v>0</v>
      </c>
      <c r="M31" s="684">
        <f t="shared" si="6"/>
        <v>0</v>
      </c>
      <c r="N31" s="684">
        <f t="shared" si="6"/>
        <v>0</v>
      </c>
      <c r="O31" s="684">
        <f t="shared" si="6"/>
        <v>0</v>
      </c>
      <c r="P31" s="684">
        <f t="shared" si="6"/>
        <v>0</v>
      </c>
      <c r="Q31" s="684">
        <f t="shared" si="6"/>
        <v>0</v>
      </c>
      <c r="R31" s="684">
        <f t="shared" si="6"/>
        <v>0</v>
      </c>
    </row>
    <row r="32" spans="1:18">
      <c r="A32" s="201">
        <v>15</v>
      </c>
      <c r="B32" s="503"/>
      <c r="C32" s="505"/>
      <c r="D32" s="520"/>
      <c r="E32" s="520"/>
      <c r="F32" s="520"/>
      <c r="G32" s="520"/>
      <c r="H32" s="520"/>
      <c r="I32" s="520"/>
      <c r="J32" s="520"/>
      <c r="K32" s="520"/>
      <c r="L32" s="520"/>
      <c r="M32" s="520"/>
      <c r="N32" s="520"/>
      <c r="O32" s="520"/>
      <c r="P32" s="520"/>
      <c r="Q32" s="520"/>
      <c r="R32" s="520"/>
    </row>
    <row r="33" spans="1:18">
      <c r="A33" s="208">
        <v>16</v>
      </c>
      <c r="B33" s="500" t="s">
        <v>226</v>
      </c>
      <c r="C33" s="523">
        <f ca="1">OFFSET($C$57,0,$C$14)</f>
        <v>0.02</v>
      </c>
      <c r="D33" s="515"/>
      <c r="E33" s="515" t="str">
        <f t="shared" ref="E33:R33" si="7">IFERROR(IF(E18="TV",E28/($C$30-$C$33),""),"")</f>
        <v/>
      </c>
      <c r="F33" s="515" t="str">
        <f t="shared" si="7"/>
        <v/>
      </c>
      <c r="G33" s="515" t="str">
        <f t="shared" si="7"/>
        <v/>
      </c>
      <c r="H33" s="515" t="str">
        <f t="shared" si="7"/>
        <v/>
      </c>
      <c r="I33" s="515">
        <f t="shared" ca="1" si="7"/>
        <v>0</v>
      </c>
      <c r="J33" s="515">
        <f t="shared" ca="1" si="7"/>
        <v>0</v>
      </c>
      <c r="K33" s="515">
        <f t="shared" ca="1" si="7"/>
        <v>0</v>
      </c>
      <c r="L33" s="515">
        <f t="shared" ca="1" si="7"/>
        <v>0</v>
      </c>
      <c r="M33" s="515">
        <f t="shared" ca="1" si="7"/>
        <v>0</v>
      </c>
      <c r="N33" s="515">
        <f t="shared" ca="1" si="7"/>
        <v>0</v>
      </c>
      <c r="O33" s="515">
        <f t="shared" ca="1" si="7"/>
        <v>0</v>
      </c>
      <c r="P33" s="515">
        <f t="shared" ca="1" si="7"/>
        <v>0</v>
      </c>
      <c r="Q33" s="515">
        <f t="shared" ca="1" si="7"/>
        <v>0</v>
      </c>
      <c r="R33" s="515">
        <f t="shared" ca="1" si="7"/>
        <v>0</v>
      </c>
    </row>
    <row r="34" spans="1:18">
      <c r="B34" s="503"/>
      <c r="C34" s="505"/>
      <c r="D34" s="520"/>
      <c r="E34" s="520"/>
      <c r="F34" s="520"/>
      <c r="G34" s="520"/>
      <c r="H34" s="520"/>
      <c r="I34" s="520"/>
      <c r="J34" s="520"/>
      <c r="K34" s="520"/>
      <c r="L34" s="520"/>
      <c r="M34" s="520"/>
      <c r="N34" s="520"/>
      <c r="O34" s="520"/>
      <c r="P34" s="520"/>
      <c r="Q34" s="520"/>
      <c r="R34" s="520"/>
    </row>
    <row r="35" spans="1:18">
      <c r="B35" s="500" t="s">
        <v>228</v>
      </c>
      <c r="C35" s="505"/>
      <c r="D35" s="521">
        <f ca="1">SUM(D31:R31)</f>
        <v>0</v>
      </c>
      <c r="E35" s="524" t="str">
        <f ca="1">IFERROR(D35/$D$37,"")</f>
        <v/>
      </c>
      <c r="F35" s="520"/>
      <c r="G35" s="520"/>
      <c r="H35" s="520"/>
      <c r="I35" s="520"/>
      <c r="J35" s="520"/>
      <c r="K35" s="520"/>
      <c r="L35" s="520"/>
      <c r="M35" s="520"/>
      <c r="N35" s="520"/>
      <c r="O35" s="520"/>
      <c r="P35" s="520"/>
      <c r="Q35" s="520"/>
      <c r="R35" s="520"/>
    </row>
    <row r="36" spans="1:18">
      <c r="B36" s="500" t="s">
        <v>229</v>
      </c>
      <c r="C36" s="505"/>
      <c r="D36" s="521">
        <f ca="1">IFERROR(HLOOKUP("TV",$D$18:$R$33,G12,FALSE)*HLOOKUP("TV",$D$18:$R$33,A30,FALSE),"")</f>
        <v>0</v>
      </c>
      <c r="E36" s="524" t="str">
        <f ca="1">IFERROR(D36/$D$37,"")</f>
        <v/>
      </c>
      <c r="F36" s="520"/>
      <c r="G36" s="520"/>
      <c r="H36" s="520"/>
      <c r="I36" s="520"/>
      <c r="J36" s="520"/>
      <c r="K36" s="520"/>
      <c r="L36" s="520"/>
      <c r="M36" s="520"/>
      <c r="N36" s="520"/>
      <c r="O36" s="520"/>
      <c r="P36" s="520"/>
      <c r="Q36" s="520"/>
      <c r="R36" s="520"/>
    </row>
    <row r="37" spans="1:18" ht="10.5">
      <c r="B37" s="680" t="s">
        <v>253</v>
      </c>
      <c r="C37" s="392"/>
      <c r="D37" s="682">
        <f ca="1">SUM(D35:D36)</f>
        <v>0</v>
      </c>
      <c r="E37" s="273"/>
      <c r="F37" s="258"/>
      <c r="G37" s="258"/>
      <c r="H37" s="258"/>
      <c r="I37" s="258"/>
      <c r="J37" s="258"/>
      <c r="K37" s="258"/>
      <c r="L37" s="258"/>
      <c r="M37" s="258"/>
      <c r="N37" s="258"/>
      <c r="O37" s="258"/>
      <c r="P37" s="258"/>
      <c r="Q37" s="258"/>
      <c r="R37" s="258"/>
    </row>
    <row r="38" spans="1:18">
      <c r="B38" s="500" t="str">
        <f>Historicals!B173</f>
        <v>Net debt</v>
      </c>
      <c r="C38" s="505"/>
      <c r="D38" s="502">
        <f>Historicals!N173</f>
        <v>0</v>
      </c>
    </row>
    <row r="39" spans="1:18">
      <c r="B39" s="500" t="str">
        <f>Historicals!B179</f>
        <v>Net non-operating assets</v>
      </c>
      <c r="C39" s="505"/>
      <c r="D39" s="502">
        <f>Historicals!N179</f>
        <v>0</v>
      </c>
    </row>
    <row r="40" spans="1:18" ht="10.5">
      <c r="B40" s="680" t="s">
        <v>230</v>
      </c>
      <c r="C40" s="392"/>
      <c r="D40" s="682">
        <f ca="1">SUM(D37:D39)</f>
        <v>0</v>
      </c>
      <c r="E40" s="258"/>
      <c r="F40" s="258"/>
      <c r="G40" s="258"/>
      <c r="H40" s="258"/>
      <c r="I40" s="258"/>
      <c r="J40" s="258"/>
      <c r="K40" s="258"/>
      <c r="L40" s="258"/>
      <c r="M40" s="258"/>
      <c r="N40" s="258"/>
      <c r="O40" s="258"/>
      <c r="P40" s="258"/>
      <c r="Q40" s="258"/>
      <c r="R40" s="258"/>
    </row>
    <row r="41" spans="1:18">
      <c r="B41" s="500" t="s">
        <v>231</v>
      </c>
      <c r="C41" s="505"/>
      <c r="D41" s="501">
        <f>pcent</f>
        <v>1</v>
      </c>
    </row>
    <row r="42" spans="1:18">
      <c r="B42" s="500" t="s">
        <v>208</v>
      </c>
      <c r="C42" s="525">
        <f>IF($F$11="Y",0,'DLOM DLOC'!H29/(1+'DLOM DLOC'!H29))</f>
        <v>0</v>
      </c>
      <c r="D42" s="526">
        <f ca="1">-D37*pcent*C42</f>
        <v>0</v>
      </c>
    </row>
    <row r="43" spans="1:18">
      <c r="B43" s="500" t="s">
        <v>232</v>
      </c>
      <c r="C43" s="527">
        <f>IF($F$11="Y",0,'DLOM DLOC'!D14)</f>
        <v>0</v>
      </c>
      <c r="D43" s="526">
        <f ca="1">-D37*pcent*C43</f>
        <v>0</v>
      </c>
    </row>
    <row r="44" spans="1:18" ht="11" thickBot="1">
      <c r="B44" s="678" t="str">
        <f>"Equity Value ("&amp;TEXT(pcent,"0.0%")&amp;")"</f>
        <v>Equity Value (100.0%)</v>
      </c>
      <c r="C44" s="397"/>
      <c r="D44" s="679">
        <f ca="1">MAX(0,D40*pcent+D42+D43)</f>
        <v>0</v>
      </c>
      <c r="E44" s="397"/>
      <c r="F44" s="397"/>
      <c r="G44" s="397"/>
      <c r="H44" s="397"/>
      <c r="I44" s="397"/>
      <c r="J44" s="397"/>
      <c r="K44" s="397"/>
      <c r="L44" s="397"/>
      <c r="M44" s="397"/>
      <c r="N44" s="397"/>
      <c r="O44" s="397"/>
      <c r="P44" s="397"/>
      <c r="Q44" s="397"/>
      <c r="R44" s="397"/>
    </row>
    <row r="45" spans="1:18">
      <c r="B45" s="677" t="s">
        <v>392</v>
      </c>
      <c r="C45" s="390"/>
      <c r="D45" s="390"/>
      <c r="E45" s="390"/>
      <c r="F45" s="390"/>
      <c r="G45" s="390"/>
      <c r="H45" s="390"/>
      <c r="I45" s="390"/>
      <c r="J45" s="390"/>
      <c r="K45" s="390"/>
      <c r="L45" s="390"/>
      <c r="M45" s="390"/>
      <c r="N45" s="390"/>
      <c r="O45" s="390"/>
      <c r="P45" s="390"/>
      <c r="Q45" s="390"/>
      <c r="R45" s="390"/>
    </row>
    <row r="46" spans="1:18">
      <c r="D46" s="212"/>
    </row>
    <row r="47" spans="1:18" ht="19">
      <c r="B47" s="200" t="s">
        <v>263</v>
      </c>
    </row>
    <row r="48" spans="1:18">
      <c r="C48" s="191"/>
    </row>
    <row r="49" spans="2:7">
      <c r="B49" s="541" t="str">
        <f>B37</f>
        <v>Enterprise Value</v>
      </c>
      <c r="C49" s="542">
        <f ca="1">D37</f>
        <v>0</v>
      </c>
      <c r="D49" s="503"/>
      <c r="E49" s="503"/>
      <c r="F49" s="503"/>
    </row>
    <row r="50" spans="2:7">
      <c r="B50" s="541" t="s">
        <v>259</v>
      </c>
      <c r="C50" s="543">
        <f>'Market '!D42</f>
        <v>0</v>
      </c>
      <c r="D50" s="23" t="s">
        <v>260</v>
      </c>
      <c r="E50" s="503"/>
      <c r="F50" s="503"/>
    </row>
    <row r="51" spans="2:7" ht="10.5">
      <c r="B51" s="544" t="s">
        <v>289</v>
      </c>
      <c r="C51" s="545" t="e">
        <f ca="1">C49/C50</f>
        <v>#DIV/0!</v>
      </c>
      <c r="D51" s="503"/>
      <c r="E51" s="503"/>
      <c r="F51" s="503"/>
    </row>
    <row r="52" spans="2:7" ht="10.5">
      <c r="B52" s="506"/>
      <c r="C52" s="546"/>
      <c r="D52" s="503"/>
      <c r="E52" s="503"/>
      <c r="F52" s="503"/>
    </row>
    <row r="53" spans="2:7">
      <c r="B53" s="503" t="s">
        <v>311</v>
      </c>
      <c r="C53" s="547">
        <v>2</v>
      </c>
      <c r="D53" s="511"/>
      <c r="E53" s="548" t="str">
        <f>IF(C53=1,"Enterprise Value","Equity Value")</f>
        <v>Equity Value</v>
      </c>
      <c r="F53" s="513"/>
    </row>
    <row r="54" spans="2:7">
      <c r="B54" s="503"/>
      <c r="C54" s="505"/>
      <c r="D54" s="549" t="str">
        <f>'Market '!C47</f>
        <v>Min</v>
      </c>
      <c r="E54" s="549" t="str">
        <f>'Market '!D47</f>
        <v>1st quartile</v>
      </c>
      <c r="F54" s="549" t="str">
        <f>'Market '!E47</f>
        <v>Median</v>
      </c>
      <c r="G54" s="23"/>
    </row>
    <row r="55" spans="2:7" ht="4.4000000000000004" customHeight="1">
      <c r="C55" s="191"/>
    </row>
    <row r="56" spans="2:7" ht="10.5">
      <c r="B56" s="685" t="s">
        <v>263</v>
      </c>
      <c r="C56" s="685"/>
      <c r="D56" s="685"/>
      <c r="E56" s="685"/>
      <c r="F56" s="685"/>
    </row>
    <row r="57" spans="2:7">
      <c r="B57" s="503"/>
      <c r="C57" s="528" t="s">
        <v>227</v>
      </c>
      <c r="D57" s="530">
        <f>E57-0.5%</f>
        <v>1.4999999999999999E-2</v>
      </c>
      <c r="E57" s="530">
        <f>F13</f>
        <v>0.02</v>
      </c>
      <c r="F57" s="530">
        <f>E57+0.5%</f>
        <v>2.5000000000000001E-2</v>
      </c>
      <c r="G57" s="23"/>
    </row>
    <row r="58" spans="2:7" ht="10.5">
      <c r="B58" s="531"/>
      <c r="C58" s="528" t="s">
        <v>22</v>
      </c>
      <c r="D58" s="532">
        <f>E58+1%</f>
        <v>0.12556413892145235</v>
      </c>
      <c r="E58" s="532">
        <f>wacc</f>
        <v>0.11556413892145234</v>
      </c>
      <c r="F58" s="532">
        <f>E58-1%</f>
        <v>0.10556413892145235</v>
      </c>
      <c r="G58" s="23"/>
    </row>
    <row r="59" spans="2:7" ht="10.5" outlineLevel="1">
      <c r="B59" s="533"/>
      <c r="C59" s="526">
        <f ca="1">IF(C53=2,D44,D37)</f>
        <v>0</v>
      </c>
      <c r="D59" s="534">
        <v>1</v>
      </c>
      <c r="E59" s="534">
        <v>2</v>
      </c>
      <c r="F59" s="503">
        <v>3</v>
      </c>
    </row>
    <row r="60" spans="2:7">
      <c r="B60" s="535" t="str">
        <f>IF(C53=2,B44,"Enterprise Value")</f>
        <v>Equity Value (100.0%)</v>
      </c>
      <c r="C60" s="534"/>
      <c r="D60" s="536">
        <f t="dataTable" ref="D60:F64" dt2D="1" dtr="1" r1="C14" r2="C11" ca="1"/>
        <v>0</v>
      </c>
      <c r="E60" s="536">
        <v>0</v>
      </c>
      <c r="F60" s="536">
        <v>0</v>
      </c>
    </row>
    <row r="61" spans="2:7" hidden="1" outlineLevel="1">
      <c r="B61" s="535"/>
      <c r="C61" s="534"/>
      <c r="D61" s="536">
        <v>0</v>
      </c>
      <c r="E61" s="536">
        <v>0</v>
      </c>
      <c r="F61" s="536">
        <v>0</v>
      </c>
    </row>
    <row r="62" spans="2:7" hidden="1" outlineLevel="1">
      <c r="B62" s="535"/>
      <c r="C62" s="534"/>
      <c r="D62" s="536">
        <v>0</v>
      </c>
      <c r="E62" s="536">
        <v>0</v>
      </c>
      <c r="F62" s="536">
        <v>0</v>
      </c>
    </row>
    <row r="63" spans="2:7" hidden="1" outlineLevel="1">
      <c r="B63" s="535"/>
      <c r="C63" s="534"/>
      <c r="D63" s="536">
        <v>0</v>
      </c>
      <c r="E63" s="536">
        <v>0</v>
      </c>
      <c r="F63" s="536">
        <v>0</v>
      </c>
    </row>
    <row r="64" spans="2:7" hidden="1" outlineLevel="1">
      <c r="B64" s="535"/>
      <c r="C64" s="534"/>
      <c r="D64" s="536">
        <v>0</v>
      </c>
      <c r="E64" s="536">
        <v>0</v>
      </c>
      <c r="F64" s="536">
        <v>0</v>
      </c>
    </row>
    <row r="65" spans="2:6" collapsed="1">
      <c r="B65" s="535"/>
      <c r="C65" s="534"/>
      <c r="D65" s="537"/>
      <c r="E65" s="537"/>
      <c r="F65" s="537"/>
    </row>
    <row r="66" spans="2:6" ht="10.5">
      <c r="B66" s="531"/>
      <c r="C66" s="505"/>
      <c r="D66" s="534"/>
      <c r="E66" s="534"/>
      <c r="F66" s="534"/>
    </row>
    <row r="67" spans="2:6" outlineLevel="1">
      <c r="B67" s="538"/>
      <c r="C67" s="539"/>
      <c r="D67" s="534">
        <v>1</v>
      </c>
      <c r="E67" s="534">
        <v>2</v>
      </c>
      <c r="F67" s="534">
        <v>3</v>
      </c>
    </row>
    <row r="68" spans="2:6">
      <c r="B68" s="535" t="str">
        <f>B51</f>
        <v>Implied EV/EBITDA ratio</v>
      </c>
      <c r="C68" s="534"/>
      <c r="D68" s="540">
        <f t="dataTable" ref="D68:F72" dt2D="1" dtr="1" r1="C14" r2="C11"/>
        <v>0</v>
      </c>
      <c r="E68" s="540">
        <v>0</v>
      </c>
      <c r="F68" s="540">
        <v>0</v>
      </c>
    </row>
    <row r="69" spans="2:6" hidden="1" outlineLevel="1">
      <c r="B69" s="535">
        <f t="shared" ref="B69:C69" si="8">B61</f>
        <v>0</v>
      </c>
      <c r="C69" s="534">
        <f t="shared" si="8"/>
        <v>0</v>
      </c>
      <c r="D69" s="540">
        <v>0</v>
      </c>
      <c r="E69" s="540">
        <v>0</v>
      </c>
      <c r="F69" s="540">
        <v>0</v>
      </c>
    </row>
    <row r="70" spans="2:6" hidden="1" outlineLevel="1">
      <c r="B70" s="535">
        <f t="shared" ref="B70:C70" si="9">B62</f>
        <v>0</v>
      </c>
      <c r="C70" s="534">
        <f t="shared" si="9"/>
        <v>0</v>
      </c>
      <c r="D70" s="540">
        <v>0</v>
      </c>
      <c r="E70" s="540">
        <v>0</v>
      </c>
      <c r="F70" s="540">
        <v>0</v>
      </c>
    </row>
    <row r="71" spans="2:6" hidden="1" outlineLevel="1">
      <c r="B71" s="535">
        <f t="shared" ref="B71:C71" si="10">B63</f>
        <v>0</v>
      </c>
      <c r="C71" s="534">
        <f t="shared" si="10"/>
        <v>0</v>
      </c>
      <c r="D71" s="540">
        <v>0</v>
      </c>
      <c r="E71" s="540">
        <v>0</v>
      </c>
      <c r="F71" s="540">
        <v>0</v>
      </c>
    </row>
    <row r="72" spans="2:6" hidden="1" outlineLevel="1">
      <c r="B72" s="535">
        <f t="shared" ref="B72:C72" si="11">B64</f>
        <v>0</v>
      </c>
      <c r="C72" s="534">
        <f t="shared" si="11"/>
        <v>0</v>
      </c>
      <c r="D72" s="540">
        <v>0</v>
      </c>
      <c r="E72" s="540">
        <v>0</v>
      </c>
      <c r="F72" s="540">
        <v>0</v>
      </c>
    </row>
    <row r="73" spans="2:6" ht="4.4000000000000004" customHeight="1" collapsed="1" thickBot="1">
      <c r="B73" s="398"/>
      <c r="C73" s="399"/>
      <c r="D73" s="400"/>
      <c r="E73" s="400"/>
      <c r="F73" s="400"/>
    </row>
    <row r="74" spans="2:6">
      <c r="B74" s="677" t="s">
        <v>393</v>
      </c>
      <c r="C74" s="390"/>
      <c r="D74" s="390"/>
      <c r="E74" s="390"/>
      <c r="F74" s="390"/>
    </row>
    <row r="75" spans="2:6">
      <c r="B75" s="686"/>
    </row>
  </sheetData>
  <sheetProtection formatCells="0" formatColumns="0" formatRows="0" insertColumns="0" insertRows="0" deleteColumns="0" deleteRows="0" sort="0"/>
  <conditionalFormatting sqref="B60:B65">
    <cfRule type="cellIs" dxfId="83" priority="2" operator="equal">
      <formula>"not selected"</formula>
    </cfRule>
  </conditionalFormatting>
  <conditionalFormatting sqref="B68:B72">
    <cfRule type="cellIs" dxfId="82" priority="1" operator="equal">
      <formula>"not selected"</formula>
    </cfRule>
  </conditionalFormatting>
  <conditionalFormatting sqref="C12">
    <cfRule type="cellIs" dxfId="81" priority="12" operator="equal">
      <formula>"N"</formula>
    </cfRule>
    <cfRule type="cellIs" dxfId="80" priority="13" operator="equal">
      <formula>"Y"</formula>
    </cfRule>
  </conditionalFormatting>
  <conditionalFormatting sqref="D18:R19">
    <cfRule type="cellIs" dxfId="78" priority="14" operator="equal">
      <formula>"FYTEF"</formula>
    </cfRule>
  </conditionalFormatting>
  <conditionalFormatting sqref="D29:R29">
    <cfRule type="cellIs" dxfId="77" priority="10" operator="equal">
      <formula>0</formula>
    </cfRule>
  </conditionalFormatting>
  <dataValidations count="6">
    <dataValidation type="list" allowBlank="1" showInputMessage="1" showErrorMessage="1" sqref="F12" xr:uid="{00000000-0002-0000-0F00-000000000000}">
      <formula1>"Gordon,Exit Multiple"</formula1>
    </dataValidation>
    <dataValidation type="list" allowBlank="1" showInputMessage="1" showErrorMessage="1" sqref="F11" xr:uid="{00000000-0002-0000-0F00-000001000000}">
      <formula1>"Y,N, Joint control"</formula1>
    </dataValidation>
    <dataValidation allowBlank="1" showInputMessage="1" showErrorMessage="1" prompt="Link to the outstanding amount of tax loss carryforward._x000a_Ensure that the unit (k,m,b) is correct" sqref="C22" xr:uid="{A8E5AF2D-3F23-408D-A43A-70183F14A0AA}"/>
    <dataValidation type="list" allowBlank="1" showInputMessage="1" showErrorMessage="1" sqref="F14" xr:uid="{CCDE8C3C-9D15-4904-A866-3C36178D9D5A}">
      <formula1>"Y,N"</formula1>
    </dataValidation>
    <dataValidation type="list" allowBlank="1" showInputMessage="1" showErrorMessage="1" sqref="F15 C53" xr:uid="{1E5BF8EF-754D-434E-88F2-78F5E2496A0B}">
      <formula1>"1,2"</formula1>
    </dataValidation>
    <dataValidation type="list" allowBlank="1" showInputMessage="1" showErrorMessage="1" sqref="C11" xr:uid="{E7A1F21E-0050-4E57-B861-EDBAE08D157C}">
      <formula1>#REF!</formula1>
    </dataValidation>
  </dataValidations>
  <pageMargins left="0.7" right="0.7" top="0.75" bottom="0.75" header="0.3" footer="0.3"/>
  <pageSetup paperSize="9" orientation="portrait" verticalDpi="0" r:id="rId1"/>
  <drawing r:id="rId2"/>
  <legacyDrawing r:id="rId3"/>
  <extLst>
    <ext xmlns:x14="http://schemas.microsoft.com/office/spreadsheetml/2009/9/main" uri="{78C0D931-6437-407d-A8EE-F0AAD7539E65}">
      <x14:conditionalFormattings>
        <x14:conditionalFormatting xmlns:xm="http://schemas.microsoft.com/office/excel/2006/main">
          <x14:cfRule type="cellIs" priority="3" operator="greaterThan" id="{B3C85D64-13FD-419C-BB32-F8B66179733C}">
            <xm:f>Input!$D$14+1</xm:f>
            <x14:dxf>
              <font>
                <color rgb="FF9C0006"/>
              </font>
              <fill>
                <patternFill>
                  <bgColor rgb="FFFFC7CE"/>
                </patternFill>
              </fill>
            </x14:dxf>
          </x14:cfRule>
          <xm:sqref>D16:R16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8CFC297-E0D0-4632-AEF7-848862D7BE84}">
          <x14:formula1>
            <xm:f>'Market '!#REF!</xm:f>
          </x14:formula1>
          <xm:sqref>D54:F55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tabColor rgb="FFFFC000"/>
  </sheetPr>
  <dimension ref="A1:U191"/>
  <sheetViews>
    <sheetView showGridLines="0" zoomScale="115" zoomScaleNormal="115" workbookViewId="0">
      <selection activeCell="E9" sqref="E9"/>
    </sheetView>
  </sheetViews>
  <sheetFormatPr defaultColWidth="0" defaultRowHeight="10" zeroHeight="1"/>
  <cols>
    <col min="1" max="1" width="10.44140625" style="191" customWidth="1"/>
    <col min="2" max="2" width="31.44140625" style="191" customWidth="1"/>
    <col min="3" max="15" width="15.6640625" style="191" customWidth="1"/>
    <col min="16" max="17" width="12.6640625" style="191" customWidth="1"/>
    <col min="18" max="21" width="12.6640625" style="191" hidden="1" customWidth="1"/>
    <col min="22" max="16384" width="9.109375" style="191" hidden="1"/>
  </cols>
  <sheetData>
    <row r="1" spans="1:7" ht="27.5">
      <c r="B1" s="199" t="s">
        <v>42</v>
      </c>
    </row>
    <row r="2" spans="1:7"/>
    <row r="3" spans="1:7"/>
    <row r="4" spans="1:7"/>
    <row r="5" spans="1:7"/>
    <row r="6" spans="1:7"/>
    <row r="7" spans="1:7" ht="19">
      <c r="B7" s="200" t="s">
        <v>238</v>
      </c>
    </row>
    <row r="8" spans="1:7" ht="21">
      <c r="B8" s="213" t="s">
        <v>2</v>
      </c>
      <c r="C8" s="213" t="s">
        <v>123</v>
      </c>
      <c r="D8" s="213" t="s">
        <v>121</v>
      </c>
      <c r="E8" s="213" t="s">
        <v>575</v>
      </c>
      <c r="F8" s="213" t="s">
        <v>538</v>
      </c>
      <c r="G8" s="213" t="s">
        <v>513</v>
      </c>
    </row>
    <row r="9" spans="1:7" ht="10.5">
      <c r="A9" s="201">
        <v>1</v>
      </c>
      <c r="B9" s="214" t="str">
        <f>Subject</f>
        <v>Netflix</v>
      </c>
      <c r="C9" s="214" t="str">
        <f>IF('Comps'!C11="","",'Comps'!C11)</f>
        <v/>
      </c>
      <c r="D9" s="215">
        <f ca="1">DCF!D40/1000</f>
        <v>0</v>
      </c>
      <c r="E9" s="216" t="str">
        <f>Historicals!O62</f>
        <v/>
      </c>
      <c r="F9" s="217" t="str">
        <f>Historicals!O51</f>
        <v/>
      </c>
      <c r="G9" s="782">
        <f>DCF!E68</f>
        <v>0</v>
      </c>
    </row>
    <row r="10" spans="1:7">
      <c r="A10" s="201">
        <v>2</v>
      </c>
      <c r="B10" s="203" t="str">
        <f>IFERROR('Comps'!B13,"DELETE")</f>
        <v>Netflix, Inc.</v>
      </c>
      <c r="C10" s="203" t="str">
        <f>IF('Comps'!C13="","",'Comps'!C13)</f>
        <v>NasdaqGS:NFLX</v>
      </c>
      <c r="D10" s="218">
        <f>'Comps'!E13</f>
        <v>397291.43635999999</v>
      </c>
      <c r="E10" s="219">
        <f>'Comps'!F13</f>
        <v>0.29494700000000001</v>
      </c>
      <c r="F10" s="220">
        <f>'Comps'!G13</f>
        <v>9.5090843021556015E-2</v>
      </c>
      <c r="G10" s="778">
        <f>'Comps'!H13</f>
        <v>29.660789999999999</v>
      </c>
    </row>
    <row r="11" spans="1:7">
      <c r="A11" s="201">
        <v>3</v>
      </c>
      <c r="B11" s="203" t="str">
        <f>IFERROR('Comps'!B14,"DELETE")</f>
        <v>Spotify Technology S.A.</v>
      </c>
      <c r="C11" s="203" t="str">
        <f>IF('Comps'!C24="","",'Comps'!C24)</f>
        <v/>
      </c>
      <c r="D11" s="221">
        <f>'Comps'!E14</f>
        <v>119674.87065</v>
      </c>
      <c r="E11" s="222">
        <f>'Comps'!F14</f>
        <v>0.12789400000000001</v>
      </c>
      <c r="F11" s="223">
        <f>'Comps'!G14</f>
        <v>0.13851860760505286</v>
      </c>
      <c r="G11" s="779">
        <f>'Comps'!H14</f>
        <v>46.520620000000001</v>
      </c>
    </row>
    <row r="12" spans="1:7">
      <c r="A12" s="201">
        <v>4</v>
      </c>
      <c r="B12" s="203" t="str">
        <f>IFERROR('Comps'!B15,"DELETE")</f>
        <v>Roku, Inc.</v>
      </c>
      <c r="C12" s="203" t="str">
        <f>IF('Comps'!C15="","",'Comps'!C15)</f>
        <v>NasdaqGS:ROKU</v>
      </c>
      <c r="D12" s="218">
        <f>'Comps'!E15</f>
        <v>16029.58964</v>
      </c>
      <c r="E12" s="219">
        <f>'Comps'!F15</f>
        <v>-5.3999999999999998E-5</v>
      </c>
      <c r="F12" s="220">
        <f>'Comps'!G15</f>
        <v>0.14157920648083655</v>
      </c>
      <c r="G12" s="778">
        <f>'Comps'!H15</f>
        <v>57.012140000000002</v>
      </c>
    </row>
    <row r="13" spans="1:7">
      <c r="A13" s="201">
        <v>5</v>
      </c>
      <c r="B13" s="203" t="str">
        <f>IFERROR('Comps'!B16,"DELETE")</f>
        <v>Iqiyi, Inc.</v>
      </c>
      <c r="C13" s="203" t="str">
        <f>IF('Comps'!C16="","",'Comps'!C16)</f>
        <v>NasdaqGS:IQ</v>
      </c>
      <c r="D13" s="218">
        <f>'Comps'!E16</f>
        <v>1848.8809900000001</v>
      </c>
      <c r="E13" s="219">
        <f>'Comps'!F16</f>
        <v>8.4019999999999997E-3</v>
      </c>
      <c r="F13" s="220">
        <f>'Comps'!G16</f>
        <v>-5.9290149007727444E-2</v>
      </c>
      <c r="G13" s="778">
        <f>'Comps'!H16</f>
        <v>2.7371799999999999</v>
      </c>
    </row>
    <row r="14" spans="1:7">
      <c r="A14" s="201">
        <v>6</v>
      </c>
      <c r="B14" s="203" t="str">
        <f>IFERROR('Comps'!B17,"DELETE")</f>
        <v>Bilibili Inc.</v>
      </c>
      <c r="C14" s="203" t="str">
        <f>IF('Comps'!C17="","",'Comps'!C17)</f>
        <v>NasdaqGS:BILI</v>
      </c>
      <c r="D14" s="218">
        <f>'Comps'!E17</f>
        <v>10174.466570000001</v>
      </c>
      <c r="E14" s="219">
        <f>'Comps'!F17</f>
        <v>3.7052000000000002E-2</v>
      </c>
      <c r="F14" s="220">
        <f>'Comps'!G17</f>
        <v>6.4054184426631799E-2</v>
      </c>
      <c r="G14" s="778">
        <f>'Comps'!H17</f>
        <v>19.779119999999999</v>
      </c>
    </row>
    <row r="15" spans="1:7">
      <c r="A15" s="201">
        <v>7</v>
      </c>
      <c r="B15" s="203" t="str">
        <f>IFERROR('Comps'!B18,"DELETE")</f>
        <v>The Walt Disney Company</v>
      </c>
      <c r="C15" s="203" t="str">
        <f>IF('Comps'!C18="","",'Comps'!C18)</f>
        <v>NYSE:DIS</v>
      </c>
      <c r="D15" s="218">
        <f>'Comps'!E18</f>
        <v>203112.31200999999</v>
      </c>
      <c r="E15" s="219">
        <f>'Comps'!F18</f>
        <v>0.14924999999999999</v>
      </c>
      <c r="F15" s="220">
        <f>'Comps'!G18</f>
        <v>0.10661102641410714</v>
      </c>
      <c r="G15" s="778">
        <f>'Comps'!H18</f>
        <v>11.781829999999999</v>
      </c>
    </row>
    <row r="16" spans="1:7">
      <c r="A16" s="201">
        <v>8</v>
      </c>
      <c r="B16" s="203" t="str">
        <f>IFERROR('Comps'!B19,"DELETE")</f>
        <v>Warner Bros. Discovery, Inc.</v>
      </c>
      <c r="C16" s="203" t="str">
        <f>IF('Comps'!C19="","",'Comps'!C19)</f>
        <v>NasdaqGS:WBD</v>
      </c>
      <c r="D16" s="218">
        <f>'Comps'!E19</f>
        <v>71458.806349999999</v>
      </c>
      <c r="E16" s="219">
        <f>'Comps'!F19</f>
        <v>4.4991000000000003E-2</v>
      </c>
      <c r="F16" s="220">
        <f>'Comps'!G19</f>
        <v>0.47750312335367018</v>
      </c>
      <c r="G16" s="778">
        <f>'Comps'!H19</f>
        <v>12.459160000000001</v>
      </c>
    </row>
    <row r="17" spans="1:7">
      <c r="A17" s="201">
        <v>9</v>
      </c>
      <c r="B17" s="203" t="str">
        <f>IFERROR('Comps'!B20,"DELETE")</f>
        <v>Paramount Skydance Corporation</v>
      </c>
      <c r="C17" s="203" t="str">
        <f>IF('Comps'!C20="","",'Comps'!C20)</f>
        <v>NasdaqGS:PSKY</v>
      </c>
      <c r="D17" s="218">
        <f>'Comps'!E20</f>
        <v>14706.50117</v>
      </c>
      <c r="E17" s="219">
        <f>'Comps'!F20</f>
        <v>6.5313999999999997E-2</v>
      </c>
      <c r="F17" s="220">
        <f>'Comps'!G20</f>
        <v>7.258458559833203E-3</v>
      </c>
      <c r="G17" s="778">
        <f>'Comps'!H20</f>
        <v>11.41535</v>
      </c>
    </row>
    <row r="18" spans="1:7">
      <c r="A18" s="201">
        <v>10</v>
      </c>
      <c r="B18" s="203" t="str">
        <f>IFERROR('Comps'!B21,"DELETE")</f>
        <v>Comcast Corporation</v>
      </c>
      <c r="C18" s="203" t="str">
        <f>IF('Comps'!C21="","",'Comps'!C21)</f>
        <v>NasdaqGS:CMCSA</v>
      </c>
      <c r="D18" s="218">
        <f>'Comps'!E21</f>
        <v>108916.00675</v>
      </c>
      <c r="E18" s="219">
        <f>'Comps'!F21</f>
        <v>0.16708799999999999</v>
      </c>
      <c r="F18" s="220">
        <f>'Comps'!G21</f>
        <v>2.0611609169991274E-2</v>
      </c>
      <c r="G18" s="778">
        <f>'Comps'!H21</f>
        <v>5.1501799999999998</v>
      </c>
    </row>
    <row r="19" spans="1:7">
      <c r="A19" s="201">
        <v>11</v>
      </c>
      <c r="B19" s="203">
        <f>IFERROR('Comps'!B22,"DELETE")</f>
        <v>0</v>
      </c>
      <c r="C19" s="203" t="str">
        <f>IF('Comps'!C22="","",'Comps'!C22)</f>
        <v/>
      </c>
      <c r="D19" s="218">
        <f>'Comps'!E22</f>
        <v>0</v>
      </c>
      <c r="E19" s="219">
        <f>'Comps'!F22</f>
        <v>0</v>
      </c>
      <c r="F19" s="220" t="str">
        <f>'Comps'!G22</f>
        <v/>
      </c>
      <c r="G19" s="778">
        <f>'Comps'!H22</f>
        <v>0</v>
      </c>
    </row>
    <row r="20" spans="1:7">
      <c r="A20" s="201">
        <v>12</v>
      </c>
      <c r="B20" s="203">
        <f>IFERROR('Comps'!B23,"DELETE")</f>
        <v>0</v>
      </c>
      <c r="C20" s="203" t="str">
        <f>IF('Comps'!C23="","",'Comps'!C23)</f>
        <v/>
      </c>
      <c r="D20" s="218">
        <f>'Comps'!E23</f>
        <v>0</v>
      </c>
      <c r="E20" s="219">
        <f>'Comps'!F23</f>
        <v>0</v>
      </c>
      <c r="F20" s="220" t="str">
        <f>'Comps'!G23</f>
        <v/>
      </c>
      <c r="G20" s="778">
        <f>'Comps'!H23</f>
        <v>0</v>
      </c>
    </row>
    <row r="21" spans="1:7">
      <c r="A21" s="201">
        <v>13</v>
      </c>
      <c r="B21" s="203">
        <f>IFERROR('Comps'!B24,"DELETE")</f>
        <v>0</v>
      </c>
      <c r="C21" s="203" t="str">
        <f>IF('Comps'!C24="","",'Comps'!C24)</f>
        <v/>
      </c>
      <c r="D21" s="218">
        <f>'Comps'!E24</f>
        <v>0</v>
      </c>
      <c r="E21" s="219">
        <f>'Comps'!F24</f>
        <v>0</v>
      </c>
      <c r="F21" s="220" t="str">
        <f>'Comps'!G24</f>
        <v/>
      </c>
      <c r="G21" s="778">
        <f>'Comps'!H24</f>
        <v>0</v>
      </c>
    </row>
    <row r="22" spans="1:7">
      <c r="A22" s="201">
        <v>14</v>
      </c>
      <c r="B22" s="203">
        <f>IFERROR('Comps'!B25,"DELETE")</f>
        <v>0</v>
      </c>
      <c r="C22" s="203" t="str">
        <f>IF('Comps'!C25="","",'Comps'!C25)</f>
        <v/>
      </c>
      <c r="D22" s="218">
        <f>'Comps'!E25</f>
        <v>0</v>
      </c>
      <c r="E22" s="219">
        <f>'Comps'!F25</f>
        <v>0</v>
      </c>
      <c r="F22" s="220" t="str">
        <f>'Comps'!G25</f>
        <v/>
      </c>
      <c r="G22" s="778">
        <f>'Comps'!H25</f>
        <v>0</v>
      </c>
    </row>
    <row r="23" spans="1:7">
      <c r="A23" s="201">
        <v>15</v>
      </c>
      <c r="B23" s="203">
        <f>IFERROR('Comps'!B26,"DELETE")</f>
        <v>0</v>
      </c>
      <c r="C23" s="203" t="str">
        <f>IF('Comps'!C26="","",'Comps'!C26)</f>
        <v/>
      </c>
      <c r="D23" s="218">
        <f>'Comps'!E26</f>
        <v>0</v>
      </c>
      <c r="E23" s="219">
        <f>'Comps'!F26</f>
        <v>0</v>
      </c>
      <c r="F23" s="220" t="str">
        <f>'Comps'!G26</f>
        <v/>
      </c>
      <c r="G23" s="778">
        <f>'Comps'!H26</f>
        <v>0</v>
      </c>
    </row>
    <row r="24" spans="1:7">
      <c r="A24" s="201">
        <v>16</v>
      </c>
      <c r="B24" s="203">
        <f>IFERROR('Comps'!B27,"DELETE")</f>
        <v>0</v>
      </c>
      <c r="C24" s="203" t="str">
        <f>IF('Comps'!C27="","",'Comps'!C27)</f>
        <v/>
      </c>
      <c r="D24" s="218">
        <f>'Comps'!E27</f>
        <v>0</v>
      </c>
      <c r="E24" s="219">
        <f>'Comps'!F27</f>
        <v>0</v>
      </c>
      <c r="F24" s="220" t="str">
        <f>'Comps'!G27</f>
        <v/>
      </c>
      <c r="G24" s="778">
        <f>'Comps'!H27</f>
        <v>0</v>
      </c>
    </row>
    <row r="25" spans="1:7" ht="4.4000000000000004" customHeight="1" thickBot="1">
      <c r="B25" s="224"/>
      <c r="C25" s="225"/>
      <c r="D25" s="226"/>
      <c r="E25" s="227"/>
      <c r="F25" s="228"/>
      <c r="G25" s="780"/>
    </row>
    <row r="26" spans="1:7">
      <c r="B26" s="203"/>
      <c r="G26" s="781"/>
    </row>
    <row r="27" spans="1:7" ht="10.5">
      <c r="B27" s="783" t="s">
        <v>116</v>
      </c>
      <c r="C27" s="784"/>
      <c r="D27" s="784"/>
      <c r="E27" s="784"/>
      <c r="F27" s="784"/>
      <c r="G27" s="785">
        <f>MAX(G10:G24)</f>
        <v>57.012140000000002</v>
      </c>
    </row>
    <row r="28" spans="1:7" ht="10.5">
      <c r="B28" s="783" t="s">
        <v>239</v>
      </c>
      <c r="C28" s="784"/>
      <c r="D28" s="784"/>
      <c r="E28" s="784"/>
      <c r="F28" s="784"/>
      <c r="G28" s="785">
        <f>_xlfn.QUARTILE.INC(G10:G24,3)</f>
        <v>16.119140000000002</v>
      </c>
    </row>
    <row r="29" spans="1:7" ht="10.5">
      <c r="B29" s="783" t="s">
        <v>117</v>
      </c>
      <c r="C29" s="784"/>
      <c r="D29" s="784"/>
      <c r="E29" s="784"/>
      <c r="F29" s="784"/>
      <c r="G29" s="785">
        <f>MEDIAN(G10:G24)</f>
        <v>5.1501799999999998</v>
      </c>
    </row>
    <row r="30" spans="1:7" ht="10.5">
      <c r="B30" s="783" t="s">
        <v>240</v>
      </c>
      <c r="C30" s="784"/>
      <c r="D30" s="784"/>
      <c r="E30" s="784"/>
      <c r="F30" s="784"/>
      <c r="G30" s="785">
        <f>_xlfn.QUARTILE.INC(G10:G24,1)</f>
        <v>0</v>
      </c>
    </row>
    <row r="31" spans="1:7" ht="10.5">
      <c r="B31" s="783" t="s">
        <v>131</v>
      </c>
      <c r="C31" s="784"/>
      <c r="D31" s="784"/>
      <c r="E31" s="784"/>
      <c r="F31" s="784"/>
      <c r="G31" s="785">
        <f>MIN(G10:G24)</f>
        <v>0</v>
      </c>
    </row>
    <row r="32" spans="1:7" ht="10.5">
      <c r="B32" s="784"/>
      <c r="C32" s="784"/>
      <c r="D32" s="784"/>
      <c r="E32" s="784"/>
      <c r="F32" s="784"/>
      <c r="G32" s="784"/>
    </row>
    <row r="33" spans="2:5" ht="19">
      <c r="B33" s="200" t="s">
        <v>243</v>
      </c>
    </row>
    <row r="34" spans="2:5"/>
    <row r="35" spans="2:5" ht="10.5">
      <c r="B35" s="676" t="s">
        <v>243</v>
      </c>
      <c r="C35" s="676"/>
      <c r="D35" s="676"/>
    </row>
    <row r="36" spans="2:5" ht="10.5">
      <c r="B36" s="498" t="str">
        <f>Historicals!B15</f>
        <v>(USD k)</v>
      </c>
      <c r="C36" s="499"/>
      <c r="D36" s="499"/>
    </row>
    <row r="37" spans="2:5">
      <c r="B37" s="500" t="s">
        <v>244</v>
      </c>
      <c r="C37" s="550"/>
      <c r="D37" s="856">
        <f>Historicals!N34+(12-Historicals!N11)*Historicals!M34/12</f>
        <v>0</v>
      </c>
    </row>
    <row r="38" spans="2:5">
      <c r="B38" s="500" t="s">
        <v>245</v>
      </c>
      <c r="C38" s="550"/>
      <c r="D38" s="550"/>
      <c r="E38" s="23" t="s">
        <v>258</v>
      </c>
    </row>
    <row r="39" spans="2:5">
      <c r="B39" s="500" t="s">
        <v>246</v>
      </c>
      <c r="C39" s="550"/>
      <c r="D39" s="550"/>
    </row>
    <row r="40" spans="2:5">
      <c r="B40" s="500" t="s">
        <v>247</v>
      </c>
      <c r="C40" s="550"/>
      <c r="D40" s="550"/>
    </row>
    <row r="41" spans="2:5">
      <c r="B41" s="500" t="s">
        <v>248</v>
      </c>
      <c r="C41" s="550"/>
      <c r="D41" s="550"/>
    </row>
    <row r="42" spans="2:5" ht="11" thickBot="1">
      <c r="B42" s="678" t="s">
        <v>249</v>
      </c>
      <c r="C42" s="679"/>
      <c r="D42" s="679">
        <f>SUM(D37:D41)</f>
        <v>0</v>
      </c>
    </row>
    <row r="43" spans="2:5">
      <c r="B43" s="677" t="s">
        <v>392</v>
      </c>
    </row>
    <row r="44" spans="2:5"/>
    <row r="45" spans="2:5" ht="19">
      <c r="B45" s="200" t="s">
        <v>250</v>
      </c>
    </row>
    <row r="46" spans="2:5"/>
    <row r="47" spans="2:5">
      <c r="B47" s="191" t="s">
        <v>252</v>
      </c>
      <c r="C47" s="190" t="s">
        <v>131</v>
      </c>
      <c r="D47" s="190" t="s">
        <v>240</v>
      </c>
      <c r="E47" s="190" t="s">
        <v>117</v>
      </c>
    </row>
    <row r="48" spans="2:5" customFormat="1" ht="4.4000000000000004" customHeight="1"/>
    <row r="49" spans="1:6" ht="10.5">
      <c r="B49" s="687" t="str">
        <f>"Valuation of "&amp;PROPER(Subject)&amp;" - Market Approach"</f>
        <v>Valuation of Netflix - Market Approach</v>
      </c>
      <c r="C49" s="687"/>
      <c r="D49" s="687"/>
      <c r="E49" s="687"/>
    </row>
    <row r="50" spans="1:6" ht="10.5">
      <c r="B50" s="551" t="str">
        <f>Historicals!B15</f>
        <v>(USD k)</v>
      </c>
      <c r="C50" s="552" t="s">
        <v>135</v>
      </c>
      <c r="D50" s="552" t="s">
        <v>251</v>
      </c>
      <c r="E50" s="552" t="s">
        <v>134</v>
      </c>
    </row>
    <row r="51" spans="1:6">
      <c r="A51" s="239"/>
      <c r="B51" s="553" t="s">
        <v>125</v>
      </c>
      <c r="C51" s="529">
        <f>IFERROR(VLOOKUP(C47,$B$27:$G$31,6,0),"")</f>
        <v>0</v>
      </c>
      <c r="D51" s="529">
        <f>IFERROR(VLOOKUP(D47,$B$27:$G$31,6,0),"")</f>
        <v>0</v>
      </c>
      <c r="E51" s="529">
        <f>IFERROR(VLOOKUP(E47,$B$27:$G$31,6,0),"")</f>
        <v>5.1501799999999998</v>
      </c>
      <c r="F51" s="23"/>
    </row>
    <row r="52" spans="1:6">
      <c r="B52" s="554" t="s">
        <v>249</v>
      </c>
      <c r="C52" s="502">
        <f>D42</f>
        <v>0</v>
      </c>
      <c r="D52" s="503"/>
      <c r="E52" s="503"/>
    </row>
    <row r="53" spans="1:6">
      <c r="B53" s="554"/>
      <c r="C53" s="502"/>
      <c r="D53" s="503"/>
      <c r="E53" s="503"/>
    </row>
    <row r="54" spans="1:6" ht="10.5">
      <c r="B54" s="680" t="s">
        <v>253</v>
      </c>
      <c r="C54" s="688">
        <f>C51*$C$52</f>
        <v>0</v>
      </c>
      <c r="D54" s="688">
        <f t="shared" ref="D54:E54" si="0">D51*$C$52</f>
        <v>0</v>
      </c>
      <c r="E54" s="688">
        <f t="shared" si="0"/>
        <v>0</v>
      </c>
    </row>
    <row r="55" spans="1:6">
      <c r="B55" s="500" t="str">
        <f>DCF!B38</f>
        <v>Net debt</v>
      </c>
      <c r="C55" s="555">
        <f>DCF!D38</f>
        <v>0</v>
      </c>
      <c r="D55" s="502"/>
      <c r="E55" s="503"/>
    </row>
    <row r="56" spans="1:6">
      <c r="B56" s="500" t="str">
        <f>DCF!B39</f>
        <v>Net non-operating assets</v>
      </c>
      <c r="C56" s="555">
        <f>DCF!D39</f>
        <v>0</v>
      </c>
      <c r="D56" s="502"/>
      <c r="E56" s="503"/>
    </row>
    <row r="57" spans="1:6">
      <c r="B57" s="500"/>
      <c r="C57" s="555"/>
      <c r="D57" s="502"/>
      <c r="E57" s="503"/>
    </row>
    <row r="58" spans="1:6" ht="10.5">
      <c r="B58" s="680" t="str">
        <f>DCF!B40</f>
        <v>Equity Value (100%)</v>
      </c>
      <c r="C58" s="682">
        <f>C54+SUM($C$55:$C$56)</f>
        <v>0</v>
      </c>
      <c r="D58" s="682">
        <f>D54+SUM($C$55:$C$56)</f>
        <v>0</v>
      </c>
      <c r="E58" s="682">
        <f>E54+SUM($C$55:$C$56)</f>
        <v>0</v>
      </c>
    </row>
    <row r="59" spans="1:6">
      <c r="B59" s="517" t="str">
        <f>DCF!B41</f>
        <v>% shareholding</v>
      </c>
      <c r="C59" s="556">
        <f>pcent</f>
        <v>1</v>
      </c>
      <c r="D59" s="503"/>
      <c r="E59" s="503"/>
    </row>
    <row r="60" spans="1:6">
      <c r="B60" s="517" t="s">
        <v>210</v>
      </c>
      <c r="C60" s="556">
        <f>IF(DCF!F11="Y",'DLOM DLOC'!H29,0)</f>
        <v>0.34399999999999997</v>
      </c>
      <c r="D60" s="503"/>
      <c r="E60" s="503"/>
      <c r="F60" s="23" t="s">
        <v>254</v>
      </c>
    </row>
    <row r="61" spans="1:6">
      <c r="B61" s="517" t="str">
        <f>DCF!B43</f>
        <v>DLOM</v>
      </c>
      <c r="C61" s="556">
        <f>IF(DCF!F11="Y",0,'DLOM DLOC'!D14)</f>
        <v>0</v>
      </c>
      <c r="D61" s="503"/>
      <c r="E61" s="503"/>
      <c r="F61" s="23" t="s">
        <v>255</v>
      </c>
    </row>
    <row r="62" spans="1:6" ht="11" thickBot="1">
      <c r="B62" s="678" t="str">
        <f>"Equity Value ("&amp;TEXT(pcent,"0.0%")&amp;")"</f>
        <v>Equity Value (100.0%)</v>
      </c>
      <c r="C62" s="689">
        <f>C58*pcent*(1+$C$60)*(1-$C$61)</f>
        <v>0</v>
      </c>
      <c r="D62" s="689">
        <f>D58*pcent*(1+$C$60)*(1-$C$61)</f>
        <v>0</v>
      </c>
      <c r="E62" s="689">
        <f>E58*pcent*(1+$C$60)*(1-$C$61)</f>
        <v>0</v>
      </c>
    </row>
    <row r="63" spans="1:6">
      <c r="B63" s="677" t="s">
        <v>394</v>
      </c>
    </row>
    <row r="64" spans="1:6"/>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sheetData>
  <sheetProtection formatCells="0" formatColumns="0" formatRows="0" insertColumns="0" insertRows="0" deleteColumns="0" deleteRows="0" sort="0" autoFilter="0"/>
  <conditionalFormatting sqref="B9:B25">
    <cfRule type="cellIs" dxfId="76" priority="10" operator="equal">
      <formula>"delete"</formula>
    </cfRule>
  </conditionalFormatting>
  <conditionalFormatting sqref="B9:F24 B25">
    <cfRule type="cellIs" dxfId="75" priority="24" operator="equal">
      <formula>"END"</formula>
    </cfRule>
  </conditionalFormatting>
  <conditionalFormatting sqref="C25:G25">
    <cfRule type="cellIs" dxfId="74" priority="11" operator="equal">
      <formula>"END"</formula>
    </cfRule>
  </conditionalFormatting>
  <conditionalFormatting sqref="G9:G24">
    <cfRule type="cellIs" dxfId="73" priority="1" operator="equal">
      <formula>"END"</formula>
    </cfRule>
  </conditionalFormatting>
  <dataValidations count="2">
    <dataValidation type="list" allowBlank="1" showInputMessage="1" showErrorMessage="1" sqref="C48:E48" xr:uid="{00000000-0002-0000-1000-000001000000}">
      <formula1>#REF!</formula1>
    </dataValidation>
    <dataValidation type="list" allowBlank="1" showInputMessage="1" showErrorMessage="1" sqref="C47:E47" xr:uid="{6484DE81-A9B5-4D6F-9842-18205166FF3A}">
      <formula1>$B$27:$B$31</formula1>
    </dataValidation>
  </dataValidation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tabColor rgb="FFFFC000"/>
  </sheetPr>
  <dimension ref="A1:X40"/>
  <sheetViews>
    <sheetView showGridLines="0" topLeftCell="A37" zoomScaleNormal="100" workbookViewId="0">
      <selection activeCell="H27" sqref="H27"/>
    </sheetView>
  </sheetViews>
  <sheetFormatPr defaultColWidth="0" defaultRowHeight="10" outlineLevelCol="1"/>
  <cols>
    <col min="1" max="1" width="9.109375" style="581" customWidth="1"/>
    <col min="2" max="2" width="15.44140625" style="581" customWidth="1"/>
    <col min="3" max="3" width="32" style="581" bestFit="1" customWidth="1"/>
    <col min="4" max="4" width="38.6640625" style="581" bestFit="1" customWidth="1"/>
    <col min="5" max="5" width="14.44140625" style="70" customWidth="1" outlineLevel="1"/>
    <col min="6" max="6" width="18.6640625" style="581" customWidth="1" outlineLevel="1"/>
    <col min="7" max="7" width="11.33203125" style="70" customWidth="1" outlineLevel="1"/>
    <col min="8" max="8" width="15.6640625" style="70" customWidth="1" outlineLevel="1"/>
    <col min="9" max="9" width="10.6640625" style="581" bestFit="1" customWidth="1"/>
    <col min="10" max="10" width="11.44140625" style="581" bestFit="1" customWidth="1"/>
    <col min="11" max="11" width="10.6640625" style="581" customWidth="1"/>
    <col min="12" max="13" width="9.109375" style="581" customWidth="1"/>
    <col min="14" max="14" width="41.44140625" style="581" bestFit="1" customWidth="1"/>
    <col min="15" max="18" width="12.6640625" style="581" customWidth="1"/>
    <col min="19" max="24" width="12.6640625" style="581" hidden="1" customWidth="1"/>
    <col min="25" max="16384" width="9.109375" style="581" hidden="1"/>
  </cols>
  <sheetData>
    <row r="1" spans="1:12" ht="27.5">
      <c r="B1" s="582" t="s">
        <v>43</v>
      </c>
    </row>
    <row r="9" spans="1:12">
      <c r="B9" s="583" t="s">
        <v>326</v>
      </c>
      <c r="C9" s="584"/>
    </row>
    <row r="11" spans="1:12" ht="10.5">
      <c r="B11" s="653" t="s">
        <v>294</v>
      </c>
      <c r="C11" s="653"/>
      <c r="D11" s="653"/>
      <c r="E11" s="653"/>
      <c r="F11" s="653"/>
      <c r="G11" s="653"/>
      <c r="H11" s="653"/>
      <c r="I11" s="653"/>
      <c r="J11" s="653"/>
      <c r="K11" s="653"/>
    </row>
    <row r="12" spans="1:12" ht="21">
      <c r="B12" s="418" t="s">
        <v>295</v>
      </c>
      <c r="C12" s="418" t="s">
        <v>296</v>
      </c>
      <c r="D12" s="418" t="s">
        <v>297</v>
      </c>
      <c r="E12" s="593" t="s">
        <v>298</v>
      </c>
      <c r="F12" s="557" t="s">
        <v>299</v>
      </c>
      <c r="G12" s="593" t="s">
        <v>300</v>
      </c>
      <c r="H12" s="593" t="s">
        <v>301</v>
      </c>
      <c r="I12" s="419" t="s">
        <v>109</v>
      </c>
      <c r="J12" s="419" t="s">
        <v>372</v>
      </c>
      <c r="K12" s="419" t="s">
        <v>370</v>
      </c>
    </row>
    <row r="13" spans="1:12">
      <c r="A13" s="585" t="s">
        <v>607</v>
      </c>
      <c r="B13" s="586" t="s">
        <v>608</v>
      </c>
      <c r="C13" s="594" t="s">
        <v>608</v>
      </c>
      <c r="D13" s="594" t="s">
        <v>608</v>
      </c>
      <c r="E13" s="595" t="s">
        <v>607</v>
      </c>
      <c r="F13" s="596" t="s">
        <v>608</v>
      </c>
      <c r="G13" s="595" t="s">
        <v>608</v>
      </c>
      <c r="H13" s="595" t="s">
        <v>608</v>
      </c>
      <c r="I13" s="597" t="s">
        <v>608</v>
      </c>
      <c r="J13" s="597" t="s">
        <v>608</v>
      </c>
      <c r="K13" s="597" t="s">
        <v>608</v>
      </c>
      <c r="L13" s="587">
        <v>1</v>
      </c>
    </row>
    <row r="14" spans="1:12">
      <c r="A14" s="585" t="s">
        <v>607</v>
      </c>
      <c r="B14" s="586" t="s">
        <v>608</v>
      </c>
      <c r="C14" s="594" t="s">
        <v>608</v>
      </c>
      <c r="D14" s="594" t="s">
        <v>608</v>
      </c>
      <c r="E14" s="595" t="s">
        <v>607</v>
      </c>
      <c r="F14" s="596" t="s">
        <v>608</v>
      </c>
      <c r="G14" s="595" t="s">
        <v>608</v>
      </c>
      <c r="H14" s="595" t="s">
        <v>608</v>
      </c>
      <c r="I14" s="597" t="s">
        <v>608</v>
      </c>
      <c r="J14" s="597" t="s">
        <v>608</v>
      </c>
      <c r="K14" s="597" t="s">
        <v>608</v>
      </c>
      <c r="L14" s="587">
        <f>L13+1</f>
        <v>2</v>
      </c>
    </row>
    <row r="15" spans="1:12">
      <c r="A15" s="585" t="s">
        <v>607</v>
      </c>
      <c r="B15" s="586" t="s">
        <v>608</v>
      </c>
      <c r="C15" s="594" t="s">
        <v>608</v>
      </c>
      <c r="D15" s="594" t="s">
        <v>608</v>
      </c>
      <c r="E15" s="595" t="s">
        <v>607</v>
      </c>
      <c r="F15" s="596" t="s">
        <v>608</v>
      </c>
      <c r="G15" s="595" t="s">
        <v>608</v>
      </c>
      <c r="H15" s="595" t="s">
        <v>608</v>
      </c>
      <c r="I15" s="597" t="s">
        <v>608</v>
      </c>
      <c r="J15" s="597" t="s">
        <v>608</v>
      </c>
      <c r="K15" s="597" t="s">
        <v>608</v>
      </c>
      <c r="L15" s="587">
        <f t="shared" ref="L15:L26" si="0">L14+1</f>
        <v>3</v>
      </c>
    </row>
    <row r="16" spans="1:12">
      <c r="A16" s="585" t="s">
        <v>607</v>
      </c>
      <c r="B16" s="586" t="s">
        <v>608</v>
      </c>
      <c r="C16" s="594" t="s">
        <v>608</v>
      </c>
      <c r="D16" s="594" t="s">
        <v>608</v>
      </c>
      <c r="E16" s="595" t="s">
        <v>607</v>
      </c>
      <c r="F16" s="596" t="s">
        <v>608</v>
      </c>
      <c r="G16" s="595" t="s">
        <v>608</v>
      </c>
      <c r="H16" s="595" t="s">
        <v>608</v>
      </c>
      <c r="I16" s="597" t="s">
        <v>608</v>
      </c>
      <c r="J16" s="597" t="s">
        <v>608</v>
      </c>
      <c r="K16" s="597" t="s">
        <v>608</v>
      </c>
      <c r="L16" s="587">
        <f t="shared" si="0"/>
        <v>4</v>
      </c>
    </row>
    <row r="17" spans="1:12">
      <c r="A17" s="585" t="s">
        <v>607</v>
      </c>
      <c r="B17" s="586" t="s">
        <v>608</v>
      </c>
      <c r="C17" s="594" t="s">
        <v>608</v>
      </c>
      <c r="D17" s="594" t="s">
        <v>608</v>
      </c>
      <c r="E17" s="595" t="s">
        <v>607</v>
      </c>
      <c r="F17" s="596" t="s">
        <v>608</v>
      </c>
      <c r="G17" s="595" t="s">
        <v>608</v>
      </c>
      <c r="H17" s="595" t="s">
        <v>608</v>
      </c>
      <c r="I17" s="597" t="s">
        <v>608</v>
      </c>
      <c r="J17" s="597" t="s">
        <v>608</v>
      </c>
      <c r="K17" s="597" t="s">
        <v>608</v>
      </c>
      <c r="L17" s="587">
        <f t="shared" si="0"/>
        <v>5</v>
      </c>
    </row>
    <row r="18" spans="1:12">
      <c r="A18" s="585" t="s">
        <v>607</v>
      </c>
      <c r="B18" s="586" t="s">
        <v>608</v>
      </c>
      <c r="C18" s="594" t="s">
        <v>608</v>
      </c>
      <c r="D18" s="594" t="s">
        <v>608</v>
      </c>
      <c r="E18" s="595" t="s">
        <v>607</v>
      </c>
      <c r="F18" s="596" t="s">
        <v>608</v>
      </c>
      <c r="G18" s="595" t="s">
        <v>608</v>
      </c>
      <c r="H18" s="595" t="s">
        <v>608</v>
      </c>
      <c r="I18" s="597" t="s">
        <v>608</v>
      </c>
      <c r="J18" s="597" t="s">
        <v>608</v>
      </c>
      <c r="K18" s="597" t="s">
        <v>608</v>
      </c>
      <c r="L18" s="587">
        <f t="shared" si="0"/>
        <v>6</v>
      </c>
    </row>
    <row r="19" spans="1:12">
      <c r="A19" s="585" t="s">
        <v>607</v>
      </c>
      <c r="B19" s="586" t="s">
        <v>608</v>
      </c>
      <c r="C19" s="594" t="s">
        <v>608</v>
      </c>
      <c r="D19" s="594" t="s">
        <v>608</v>
      </c>
      <c r="E19" s="595" t="s">
        <v>607</v>
      </c>
      <c r="F19" s="596" t="s">
        <v>608</v>
      </c>
      <c r="G19" s="595" t="s">
        <v>608</v>
      </c>
      <c r="H19" s="595" t="s">
        <v>608</v>
      </c>
      <c r="I19" s="597" t="s">
        <v>608</v>
      </c>
      <c r="J19" s="597" t="s">
        <v>608</v>
      </c>
      <c r="K19" s="597" t="s">
        <v>608</v>
      </c>
      <c r="L19" s="587">
        <f t="shared" si="0"/>
        <v>7</v>
      </c>
    </row>
    <row r="20" spans="1:12">
      <c r="A20" s="585" t="s">
        <v>607</v>
      </c>
      <c r="B20" s="586" t="s">
        <v>608</v>
      </c>
      <c r="C20" s="594" t="s">
        <v>608</v>
      </c>
      <c r="D20" s="594" t="s">
        <v>608</v>
      </c>
      <c r="E20" s="595" t="s">
        <v>607</v>
      </c>
      <c r="F20" s="596" t="s">
        <v>608</v>
      </c>
      <c r="G20" s="595" t="s">
        <v>608</v>
      </c>
      <c r="H20" s="595" t="s">
        <v>608</v>
      </c>
      <c r="I20" s="597" t="s">
        <v>608</v>
      </c>
      <c r="J20" s="597" t="s">
        <v>608</v>
      </c>
      <c r="K20" s="597" t="s">
        <v>608</v>
      </c>
      <c r="L20" s="587">
        <f t="shared" si="0"/>
        <v>8</v>
      </c>
    </row>
    <row r="21" spans="1:12">
      <c r="A21" s="585" t="s">
        <v>607</v>
      </c>
      <c r="B21" s="586" t="s">
        <v>608</v>
      </c>
      <c r="C21" s="594" t="s">
        <v>608</v>
      </c>
      <c r="D21" s="594" t="s">
        <v>608</v>
      </c>
      <c r="E21" s="595" t="s">
        <v>607</v>
      </c>
      <c r="F21" s="596" t="s">
        <v>608</v>
      </c>
      <c r="G21" s="595" t="s">
        <v>608</v>
      </c>
      <c r="H21" s="595" t="s">
        <v>608</v>
      </c>
      <c r="I21" s="597" t="s">
        <v>608</v>
      </c>
      <c r="J21" s="597" t="s">
        <v>608</v>
      </c>
      <c r="K21" s="597" t="s">
        <v>608</v>
      </c>
      <c r="L21" s="587">
        <f t="shared" si="0"/>
        <v>9</v>
      </c>
    </row>
    <row r="22" spans="1:12">
      <c r="A22" s="585" t="s">
        <v>607</v>
      </c>
      <c r="B22" s="586" t="s">
        <v>608</v>
      </c>
      <c r="C22" s="594" t="s">
        <v>608</v>
      </c>
      <c r="D22" s="594" t="s">
        <v>608</v>
      </c>
      <c r="E22" s="595" t="s">
        <v>607</v>
      </c>
      <c r="F22" s="596" t="s">
        <v>608</v>
      </c>
      <c r="G22" s="595" t="s">
        <v>608</v>
      </c>
      <c r="H22" s="595" t="s">
        <v>608</v>
      </c>
      <c r="I22" s="597" t="s">
        <v>608</v>
      </c>
      <c r="J22" s="597" t="s">
        <v>608</v>
      </c>
      <c r="K22" s="597" t="s">
        <v>608</v>
      </c>
      <c r="L22" s="587">
        <f t="shared" si="0"/>
        <v>10</v>
      </c>
    </row>
    <row r="23" spans="1:12">
      <c r="A23" s="585" t="s">
        <v>607</v>
      </c>
      <c r="B23" s="586" t="s">
        <v>608</v>
      </c>
      <c r="C23" s="594" t="s">
        <v>608</v>
      </c>
      <c r="D23" s="594" t="s">
        <v>608</v>
      </c>
      <c r="E23" s="595" t="s">
        <v>607</v>
      </c>
      <c r="F23" s="596" t="s">
        <v>608</v>
      </c>
      <c r="G23" s="595" t="s">
        <v>608</v>
      </c>
      <c r="H23" s="595" t="s">
        <v>608</v>
      </c>
      <c r="I23" s="597" t="s">
        <v>608</v>
      </c>
      <c r="J23" s="597" t="s">
        <v>608</v>
      </c>
      <c r="K23" s="597" t="s">
        <v>608</v>
      </c>
      <c r="L23" s="587">
        <f t="shared" si="0"/>
        <v>11</v>
      </c>
    </row>
    <row r="24" spans="1:12">
      <c r="A24" s="585" t="s">
        <v>607</v>
      </c>
      <c r="B24" s="586" t="s">
        <v>608</v>
      </c>
      <c r="C24" s="594" t="s">
        <v>608</v>
      </c>
      <c r="D24" s="594" t="s">
        <v>608</v>
      </c>
      <c r="E24" s="595" t="s">
        <v>607</v>
      </c>
      <c r="F24" s="596" t="s">
        <v>608</v>
      </c>
      <c r="G24" s="595" t="s">
        <v>608</v>
      </c>
      <c r="H24" s="595" t="s">
        <v>608</v>
      </c>
      <c r="I24" s="597" t="s">
        <v>608</v>
      </c>
      <c r="J24" s="597" t="s">
        <v>608</v>
      </c>
      <c r="K24" s="597" t="s">
        <v>608</v>
      </c>
      <c r="L24" s="587">
        <f t="shared" si="0"/>
        <v>12</v>
      </c>
    </row>
    <row r="25" spans="1:12">
      <c r="A25" s="585" t="s">
        <v>607</v>
      </c>
      <c r="B25" s="586" t="s">
        <v>608</v>
      </c>
      <c r="C25" s="594" t="s">
        <v>608</v>
      </c>
      <c r="D25" s="594" t="s">
        <v>608</v>
      </c>
      <c r="E25" s="595" t="s">
        <v>607</v>
      </c>
      <c r="F25" s="596" t="s">
        <v>608</v>
      </c>
      <c r="G25" s="595" t="s">
        <v>608</v>
      </c>
      <c r="H25" s="595" t="s">
        <v>608</v>
      </c>
      <c r="I25" s="597" t="s">
        <v>608</v>
      </c>
      <c r="J25" s="597" t="s">
        <v>608</v>
      </c>
      <c r="K25" s="597" t="s">
        <v>608</v>
      </c>
      <c r="L25" s="587">
        <f t="shared" si="0"/>
        <v>13</v>
      </c>
    </row>
    <row r="26" spans="1:12">
      <c r="A26" s="585" t="s">
        <v>607</v>
      </c>
      <c r="B26" s="586" t="s">
        <v>608</v>
      </c>
      <c r="C26" s="594" t="s">
        <v>608</v>
      </c>
      <c r="D26" s="594" t="s">
        <v>608</v>
      </c>
      <c r="E26" s="595" t="s">
        <v>607</v>
      </c>
      <c r="F26" s="596" t="s">
        <v>608</v>
      </c>
      <c r="G26" s="595" t="s">
        <v>608</v>
      </c>
      <c r="H26" s="595" t="s">
        <v>608</v>
      </c>
      <c r="I26" s="597" t="s">
        <v>608</v>
      </c>
      <c r="J26" s="597" t="s">
        <v>608</v>
      </c>
      <c r="K26" s="597" t="s">
        <v>608</v>
      </c>
      <c r="L26" s="587">
        <f t="shared" si="0"/>
        <v>14</v>
      </c>
    </row>
    <row r="27" spans="1:12" ht="4.4000000000000004" customHeight="1" thickBot="1">
      <c r="B27" s="394"/>
      <c r="C27" s="353"/>
      <c r="D27" s="353"/>
      <c r="E27" s="353"/>
      <c r="F27" s="353"/>
      <c r="G27" s="353"/>
      <c r="H27" s="353"/>
      <c r="I27" s="395"/>
      <c r="J27" s="395"/>
      <c r="K27" s="395"/>
    </row>
    <row r="28" spans="1:12">
      <c r="B28" s="690" t="s">
        <v>324</v>
      </c>
      <c r="D28" s="428" t="s">
        <v>116</v>
      </c>
      <c r="E28" s="588"/>
      <c r="F28" s="589"/>
      <c r="G28" s="588"/>
      <c r="H28" s="588"/>
      <c r="I28" s="590" t="e">
        <f>_xlfn.QUARTILE.INC(I$13:I$26,$L28)</f>
        <v>#NUM!</v>
      </c>
      <c r="J28" s="590" t="e">
        <f t="shared" ref="J28:K28" si="1">_xlfn.QUARTILE.INC(J$13:J$26,$L28)</f>
        <v>#NUM!</v>
      </c>
      <c r="K28" s="590" t="e">
        <f t="shared" si="1"/>
        <v>#NUM!</v>
      </c>
      <c r="L28" s="591">
        <v>4</v>
      </c>
    </row>
    <row r="29" spans="1:12">
      <c r="B29" s="70"/>
      <c r="D29" s="428" t="s">
        <v>239</v>
      </c>
      <c r="E29" s="588"/>
      <c r="F29" s="589"/>
      <c r="G29" s="588"/>
      <c r="H29" s="588"/>
      <c r="I29" s="590" t="e">
        <f t="shared" ref="I29:K32" si="2">_xlfn.QUARTILE.INC(I$13:I$26,$L29)</f>
        <v>#NUM!</v>
      </c>
      <c r="J29" s="590" t="e">
        <f t="shared" si="2"/>
        <v>#NUM!</v>
      </c>
      <c r="K29" s="590" t="e">
        <f t="shared" si="2"/>
        <v>#NUM!</v>
      </c>
      <c r="L29" s="591">
        <v>3</v>
      </c>
    </row>
    <row r="30" spans="1:12">
      <c r="B30" s="70"/>
      <c r="D30" s="428" t="s">
        <v>117</v>
      </c>
      <c r="E30" s="588"/>
      <c r="F30" s="589"/>
      <c r="G30" s="588"/>
      <c r="H30" s="588"/>
      <c r="I30" s="590" t="e">
        <f t="shared" si="2"/>
        <v>#NUM!</v>
      </c>
      <c r="J30" s="590" t="e">
        <f t="shared" si="2"/>
        <v>#NUM!</v>
      </c>
      <c r="K30" s="590" t="e">
        <f t="shared" si="2"/>
        <v>#NUM!</v>
      </c>
      <c r="L30" s="591">
        <v>2</v>
      </c>
    </row>
    <row r="31" spans="1:12">
      <c r="B31" s="70"/>
      <c r="D31" s="428" t="s">
        <v>240</v>
      </c>
      <c r="E31" s="588"/>
      <c r="F31" s="589"/>
      <c r="G31" s="588"/>
      <c r="H31" s="588"/>
      <c r="I31" s="590" t="e">
        <f t="shared" si="2"/>
        <v>#NUM!</v>
      </c>
      <c r="J31" s="590" t="e">
        <f t="shared" si="2"/>
        <v>#NUM!</v>
      </c>
      <c r="K31" s="590" t="e">
        <f t="shared" si="2"/>
        <v>#NUM!</v>
      </c>
      <c r="L31" s="591">
        <v>1</v>
      </c>
    </row>
    <row r="32" spans="1:12">
      <c r="B32" s="70"/>
      <c r="D32" s="428" t="s">
        <v>131</v>
      </c>
      <c r="E32" s="588"/>
      <c r="F32" s="589"/>
      <c r="G32" s="588"/>
      <c r="H32" s="588"/>
      <c r="I32" s="590" t="e">
        <f t="shared" si="2"/>
        <v>#NUM!</v>
      </c>
      <c r="J32" s="590" t="e">
        <f t="shared" si="2"/>
        <v>#NUM!</v>
      </c>
      <c r="K32" s="590" t="e">
        <f t="shared" si="2"/>
        <v>#NUM!</v>
      </c>
      <c r="L32" s="591">
        <v>0</v>
      </c>
    </row>
    <row r="33" spans="2:17">
      <c r="B33" s="592"/>
    </row>
    <row r="36" spans="2:17" ht="10.5">
      <c r="N36" s="653" t="s">
        <v>302</v>
      </c>
      <c r="O36" s="653"/>
      <c r="P36" s="653"/>
      <c r="Q36" s="653"/>
    </row>
    <row r="37" spans="2:17" ht="10.5">
      <c r="N37" s="418"/>
      <c r="O37" s="419" t="str">
        <f>'Market '!C47</f>
        <v>Min</v>
      </c>
      <c r="P37" s="419" t="str">
        <f>'Market '!D47</f>
        <v>1st quartile</v>
      </c>
      <c r="Q37" s="419" t="str">
        <f>'Market '!E47</f>
        <v>Median</v>
      </c>
    </row>
    <row r="38" spans="2:17">
      <c r="N38" s="561" t="s">
        <v>303</v>
      </c>
      <c r="O38" s="559">
        <f>'Market '!C51</f>
        <v>0</v>
      </c>
      <c r="P38" s="559">
        <f>'Market '!D51</f>
        <v>0</v>
      </c>
      <c r="Q38" s="559">
        <f>'Market '!E51</f>
        <v>5.1501799999999998</v>
      </c>
    </row>
    <row r="39" spans="2:17">
      <c r="N39" s="561" t="s">
        <v>304</v>
      </c>
      <c r="O39" s="559" t="e">
        <f>'Market '!#REF!</f>
        <v>#REF!</v>
      </c>
      <c r="P39" s="559" t="e">
        <f>'Market '!#REF!</f>
        <v>#REF!</v>
      </c>
      <c r="Q39" s="559" t="e">
        <f>'Market '!#REF!</f>
        <v>#REF!</v>
      </c>
    </row>
    <row r="40" spans="2:17" ht="10.5" thickBot="1">
      <c r="N40" s="482" t="s">
        <v>305</v>
      </c>
      <c r="O40" s="560" t="e">
        <f>VLOOKUP(O37,$D$28:$I$32,6,FALSE)</f>
        <v>#NUM!</v>
      </c>
      <c r="P40" s="560" t="e">
        <f t="shared" ref="P40:Q40" si="3">VLOOKUP(P37,$D$28:$I$32,6,FALSE)</f>
        <v>#NUM!</v>
      </c>
      <c r="Q40" s="560" t="e">
        <f t="shared" si="3"/>
        <v>#NUM!</v>
      </c>
    </row>
  </sheetData>
  <phoneticPr fontId="12" type="noConversion"/>
  <conditionalFormatting sqref="B13:K27">
    <cfRule type="expression" dxfId="72" priority="1">
      <formula>MOD(ROW(),2)=0</formula>
    </cfRule>
  </conditionalFormatting>
  <pageMargins left="0.7" right="0.7" top="0.75" bottom="0.75" header="0.3" footer="0.3"/>
  <pageSetup orientation="portrait" horizontalDpi="90" verticalDpi="90"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09E55-F12A-444F-9F3B-6C6D7BC6C396}">
  <sheetPr>
    <tabColor rgb="FF0A1F8F"/>
  </sheetPr>
  <dimension ref="B1:X170"/>
  <sheetViews>
    <sheetView showGridLines="0" topLeftCell="A113" zoomScale="85" zoomScaleNormal="85" workbookViewId="0">
      <selection activeCell="N169" sqref="N169:X169"/>
    </sheetView>
  </sheetViews>
  <sheetFormatPr defaultRowHeight="10"/>
  <cols>
    <col min="2" max="2" width="40" customWidth="1"/>
    <col min="3" max="3" width="12.109375" bestFit="1" customWidth="1"/>
    <col min="4" max="4" width="22.6640625" customWidth="1"/>
    <col min="5" max="11" width="12.109375" bestFit="1" customWidth="1"/>
    <col min="12" max="12" width="12.44140625" bestFit="1" customWidth="1"/>
    <col min="13" max="13" width="12.109375" bestFit="1" customWidth="1"/>
    <col min="14" max="20" width="9" bestFit="1" customWidth="1"/>
    <col min="21" max="21" width="8.6640625" bestFit="1" customWidth="1"/>
    <col min="22" max="24" width="9" bestFit="1" customWidth="1"/>
  </cols>
  <sheetData>
    <row r="1" spans="2:24" ht="28.15" customHeight="1">
      <c r="B1" s="18" t="s">
        <v>529</v>
      </c>
    </row>
    <row r="2" spans="2:24" ht="19">
      <c r="B2" s="200" t="s">
        <v>150</v>
      </c>
      <c r="C2" s="699"/>
      <c r="D2" s="699"/>
      <c r="E2" s="699"/>
      <c r="F2" s="699"/>
      <c r="G2" s="699"/>
      <c r="H2" s="699"/>
      <c r="I2" s="699"/>
      <c r="J2" s="699"/>
      <c r="K2" s="699"/>
      <c r="L2" s="581"/>
      <c r="M2" s="581"/>
    </row>
    <row r="3" spans="2:24" ht="12">
      <c r="B3" s="762" t="str">
        <f>"("&amp;curr&amp;" "&amp;Input!D8&amp;")"</f>
        <v>(USD k)</v>
      </c>
      <c r="C3" s="419" t="str">
        <f>Historicals!D15</f>
        <v>FYTE</v>
      </c>
      <c r="D3" s="419" t="str">
        <f>Historicals!E15</f>
        <v>FYTE</v>
      </c>
      <c r="E3" s="419" t="str">
        <f>Historicals!F15</f>
        <v>FYTE</v>
      </c>
      <c r="F3" s="419" t="str">
        <f>Historicals!G15</f>
        <v>FYTE</v>
      </c>
      <c r="G3" s="419" t="str">
        <f>Historicals!H15</f>
        <v>FYTE</v>
      </c>
      <c r="H3" s="419" t="str">
        <f>Historicals!I15</f>
        <v>FYTE</v>
      </c>
      <c r="I3" s="419" t="str">
        <f>Historicals!J15</f>
        <v>FY21</v>
      </c>
      <c r="J3" s="419" t="str">
        <f>Historicals!K15</f>
        <v>FY22</v>
      </c>
      <c r="K3" s="419" t="str">
        <f>Historicals!L15</f>
        <v>FY23</v>
      </c>
      <c r="L3" s="419" t="str">
        <f>Historicals!M15</f>
        <v>FY24</v>
      </c>
      <c r="M3" s="419" t="str">
        <f>Historicals!N15</f>
        <v>FY25</v>
      </c>
      <c r="N3" s="419" t="str">
        <f>Forecast!D16</f>
        <v>FY26F</v>
      </c>
      <c r="O3" s="419" t="str">
        <f>Forecast!E16</f>
        <v>FY27F</v>
      </c>
      <c r="P3" s="419" t="str">
        <f>Forecast!F16</f>
        <v>FY28F</v>
      </c>
      <c r="Q3" s="419" t="str">
        <f>Forecast!G16</f>
        <v>FY29F</v>
      </c>
      <c r="R3" s="419" t="str">
        <f>Forecast!H16</f>
        <v>FY30F</v>
      </c>
      <c r="S3" s="419" t="str">
        <f>Forecast!I16</f>
        <v>FYTEF</v>
      </c>
      <c r="T3" s="419" t="str">
        <f>Forecast!J16</f>
        <v>FYTEF</v>
      </c>
      <c r="U3" s="419" t="str">
        <f>Forecast!K16</f>
        <v>FYTEF</v>
      </c>
      <c r="V3" s="419" t="str">
        <f>Forecast!L16</f>
        <v>FYTEF</v>
      </c>
      <c r="W3" s="419" t="str">
        <f>Forecast!M16</f>
        <v>FYTEF</v>
      </c>
      <c r="X3" s="419" t="str">
        <f>Forecast!N16</f>
        <v>FYTEF</v>
      </c>
    </row>
    <row r="4" spans="2:24" ht="12">
      <c r="B4" s="699" t="s">
        <v>516</v>
      </c>
      <c r="C4" s="422">
        <f>Historicals!D16</f>
        <v>0</v>
      </c>
      <c r="D4" s="422">
        <f>Historicals!E16</f>
        <v>0</v>
      </c>
      <c r="E4" s="422">
        <f>Historicals!F16</f>
        <v>0</v>
      </c>
      <c r="F4" s="422">
        <f>Historicals!G16</f>
        <v>0</v>
      </c>
      <c r="G4" s="422">
        <f>Historicals!H16</f>
        <v>0</v>
      </c>
      <c r="H4" s="422">
        <f>Historicals!I16</f>
        <v>0</v>
      </c>
      <c r="I4" s="422">
        <f>Historicals!J16</f>
        <v>0</v>
      </c>
      <c r="J4" s="422">
        <f>Historicals!K16</f>
        <v>0</v>
      </c>
      <c r="K4" s="422">
        <f>Historicals!L16</f>
        <v>0</v>
      </c>
      <c r="L4" s="422">
        <f>Historicals!M16</f>
        <v>0</v>
      </c>
      <c r="M4" s="422">
        <f>Historicals!N16</f>
        <v>0</v>
      </c>
    </row>
    <row r="5" spans="2:24" ht="12">
      <c r="B5" s="699" t="s">
        <v>517</v>
      </c>
      <c r="C5" s="422"/>
      <c r="D5" s="422"/>
      <c r="E5" s="422"/>
      <c r="F5" s="422"/>
      <c r="G5" s="422"/>
      <c r="H5" s="422"/>
      <c r="I5" s="422"/>
      <c r="J5" s="422"/>
      <c r="K5" s="422"/>
      <c r="L5" s="422"/>
      <c r="M5" s="422"/>
      <c r="N5" s="423">
        <f>Forecast!D17</f>
        <v>0</v>
      </c>
      <c r="O5" s="423">
        <f>Forecast!E17</f>
        <v>0</v>
      </c>
      <c r="P5" s="423">
        <f>Forecast!F17</f>
        <v>0</v>
      </c>
      <c r="Q5" s="423">
        <f>Forecast!G17</f>
        <v>0</v>
      </c>
      <c r="R5" s="423">
        <f>Forecast!H17</f>
        <v>0</v>
      </c>
      <c r="S5" s="423">
        <f>Forecast!I17</f>
        <v>0</v>
      </c>
      <c r="T5" s="423">
        <f>Forecast!J17</f>
        <v>0</v>
      </c>
      <c r="U5" s="423">
        <f>Forecast!K17</f>
        <v>0</v>
      </c>
      <c r="V5" s="423">
        <f>Forecast!L17</f>
        <v>0</v>
      </c>
      <c r="W5" s="423">
        <f>Forecast!M17</f>
        <v>0</v>
      </c>
      <c r="X5" s="423">
        <f>Forecast!N17</f>
        <v>0</v>
      </c>
    </row>
    <row r="6" spans="2:24" ht="12">
      <c r="B6" s="763" t="s">
        <v>514</v>
      </c>
      <c r="C6" s="764" t="str">
        <f>Historicals!D51</f>
        <v/>
      </c>
      <c r="D6" s="764" t="str">
        <f>Historicals!E51</f>
        <v/>
      </c>
      <c r="E6" s="764" t="str">
        <f>Historicals!F51</f>
        <v/>
      </c>
      <c r="F6" s="764" t="str">
        <f>Historicals!G51</f>
        <v/>
      </c>
      <c r="G6" s="764" t="str">
        <f>Historicals!H51</f>
        <v/>
      </c>
      <c r="H6" s="764" t="str">
        <f>Historicals!I51</f>
        <v/>
      </c>
      <c r="I6" s="764" t="str">
        <f>Historicals!J51</f>
        <v/>
      </c>
      <c r="J6" s="764" t="str">
        <f>Historicals!K51</f>
        <v/>
      </c>
      <c r="K6" s="764" t="str">
        <f>Historicals!L51</f>
        <v/>
      </c>
      <c r="L6" s="764" t="str">
        <f>Historicals!M51</f>
        <v/>
      </c>
      <c r="M6" s="764" t="str">
        <f>Historicals!N51</f>
        <v/>
      </c>
      <c r="N6" s="764" t="str">
        <f>Forecast!D43</f>
        <v/>
      </c>
      <c r="O6" s="764" t="str">
        <f>Forecast!E43</f>
        <v/>
      </c>
      <c r="P6" s="764" t="str">
        <f>Forecast!F43</f>
        <v/>
      </c>
      <c r="Q6" s="764" t="str">
        <f>Forecast!G43</f>
        <v/>
      </c>
      <c r="R6" s="764" t="str">
        <f>Forecast!H43</f>
        <v/>
      </c>
      <c r="S6" s="764" t="str">
        <f>Forecast!I43</f>
        <v/>
      </c>
      <c r="T6" s="764" t="str">
        <f>Forecast!J43</f>
        <v/>
      </c>
      <c r="U6" s="764" t="str">
        <f>Forecast!K43</f>
        <v/>
      </c>
      <c r="V6" s="764" t="str">
        <f>Forecast!L43</f>
        <v/>
      </c>
      <c r="W6" s="764" t="str">
        <f>Forecast!M43</f>
        <v/>
      </c>
      <c r="X6" s="764" t="str">
        <f>Forecast!N43</f>
        <v/>
      </c>
    </row>
    <row r="42" spans="2:24" ht="19">
      <c r="B42" s="200" t="s">
        <v>57</v>
      </c>
      <c r="C42" s="699"/>
      <c r="D42" s="699"/>
      <c r="E42" s="699"/>
      <c r="F42" s="699"/>
      <c r="G42" s="699"/>
      <c r="H42" s="699"/>
      <c r="I42" s="699"/>
      <c r="J42" s="699"/>
      <c r="K42" s="699"/>
      <c r="L42" s="581"/>
      <c r="M42" s="581"/>
    </row>
    <row r="43" spans="2:24" ht="12">
      <c r="B43" s="762" t="str">
        <f>B3</f>
        <v>(USD k)</v>
      </c>
      <c r="C43" s="419" t="str">
        <f t="shared" ref="C43:X43" si="0">C3</f>
        <v>FYTE</v>
      </c>
      <c r="D43" s="419" t="str">
        <f t="shared" si="0"/>
        <v>FYTE</v>
      </c>
      <c r="E43" s="419" t="str">
        <f t="shared" si="0"/>
        <v>FYTE</v>
      </c>
      <c r="F43" s="419" t="str">
        <f t="shared" si="0"/>
        <v>FYTE</v>
      </c>
      <c r="G43" s="419" t="str">
        <f t="shared" si="0"/>
        <v>FYTE</v>
      </c>
      <c r="H43" s="419" t="str">
        <f t="shared" si="0"/>
        <v>FYTE</v>
      </c>
      <c r="I43" s="419" t="str">
        <f t="shared" si="0"/>
        <v>FY21</v>
      </c>
      <c r="J43" s="419" t="str">
        <f t="shared" si="0"/>
        <v>FY22</v>
      </c>
      <c r="K43" s="419" t="str">
        <f t="shared" si="0"/>
        <v>FY23</v>
      </c>
      <c r="L43" s="419" t="str">
        <f t="shared" si="0"/>
        <v>FY24</v>
      </c>
      <c r="M43" s="419" t="str">
        <f t="shared" si="0"/>
        <v>FY25</v>
      </c>
      <c r="N43" s="419" t="str">
        <f t="shared" si="0"/>
        <v>FY26F</v>
      </c>
      <c r="O43" s="419" t="str">
        <f t="shared" si="0"/>
        <v>FY27F</v>
      </c>
      <c r="P43" s="419" t="str">
        <f t="shared" si="0"/>
        <v>FY28F</v>
      </c>
      <c r="Q43" s="419" t="str">
        <f t="shared" si="0"/>
        <v>FY29F</v>
      </c>
      <c r="R43" s="419" t="str">
        <f t="shared" si="0"/>
        <v>FY30F</v>
      </c>
      <c r="S43" s="419" t="str">
        <f t="shared" si="0"/>
        <v>FYTEF</v>
      </c>
      <c r="T43" s="419" t="str">
        <f t="shared" si="0"/>
        <v>FYTEF</v>
      </c>
      <c r="U43" s="419" t="str">
        <f t="shared" si="0"/>
        <v>FYTEF</v>
      </c>
      <c r="V43" s="419" t="str">
        <f t="shared" si="0"/>
        <v>FYTEF</v>
      </c>
      <c r="W43" s="419" t="str">
        <f t="shared" si="0"/>
        <v>FYTEF</v>
      </c>
      <c r="X43" s="419" t="str">
        <f t="shared" si="0"/>
        <v>FYTEF</v>
      </c>
    </row>
    <row r="44" spans="2:24" ht="12">
      <c r="B44" s="699" t="s">
        <v>518</v>
      </c>
      <c r="C44" s="422">
        <f>Historicals!D23</f>
        <v>0</v>
      </c>
      <c r="D44" s="422">
        <f>Historicals!E23</f>
        <v>0</v>
      </c>
      <c r="E44" s="422">
        <f>Historicals!F23</f>
        <v>0</v>
      </c>
      <c r="F44" s="422">
        <f>Historicals!G23</f>
        <v>0</v>
      </c>
      <c r="G44" s="422">
        <f>Historicals!H23</f>
        <v>0</v>
      </c>
      <c r="H44" s="422">
        <f>Historicals!I23</f>
        <v>0</v>
      </c>
      <c r="I44" s="422">
        <f>Historicals!J23</f>
        <v>0</v>
      </c>
      <c r="J44" s="422">
        <f>Historicals!K23</f>
        <v>0</v>
      </c>
      <c r="K44" s="422">
        <f>Historicals!L23</f>
        <v>0</v>
      </c>
      <c r="L44" s="422">
        <f>Historicals!M23</f>
        <v>0</v>
      </c>
      <c r="M44" s="422">
        <f>Historicals!N23</f>
        <v>0</v>
      </c>
    </row>
    <row r="45" spans="2:24" ht="12">
      <c r="B45" s="699" t="s">
        <v>519</v>
      </c>
      <c r="C45" s="422"/>
      <c r="D45" s="422"/>
      <c r="E45" s="422"/>
      <c r="F45" s="422"/>
      <c r="G45" s="422"/>
      <c r="H45" s="422"/>
      <c r="I45" s="422"/>
      <c r="J45" s="422"/>
      <c r="K45" s="422"/>
      <c r="L45" s="422"/>
      <c r="M45" s="422"/>
      <c r="N45" s="423">
        <f>Forecast!D24</f>
        <v>0</v>
      </c>
      <c r="O45" s="423">
        <f>Forecast!E24</f>
        <v>0</v>
      </c>
      <c r="P45" s="423">
        <f>Forecast!F24</f>
        <v>0</v>
      </c>
      <c r="Q45" s="423">
        <f>Forecast!G24</f>
        <v>0</v>
      </c>
      <c r="R45" s="423">
        <f>Forecast!H24</f>
        <v>0</v>
      </c>
      <c r="S45" s="423">
        <f>Forecast!I24</f>
        <v>0</v>
      </c>
      <c r="T45" s="423">
        <f>Forecast!J24</f>
        <v>0</v>
      </c>
      <c r="U45" s="423">
        <f>Forecast!K24</f>
        <v>0</v>
      </c>
      <c r="V45" s="423">
        <f>Forecast!L24</f>
        <v>0</v>
      </c>
      <c r="W45" s="423">
        <f>Forecast!M24</f>
        <v>0</v>
      </c>
      <c r="X45" s="423">
        <f>Forecast!N24</f>
        <v>0</v>
      </c>
    </row>
    <row r="46" spans="2:24" ht="12">
      <c r="B46" s="763" t="s">
        <v>515</v>
      </c>
      <c r="C46" s="764" t="str">
        <f>Historicals!D61</f>
        <v/>
      </c>
      <c r="D46" s="764" t="str">
        <f>Historicals!E61</f>
        <v/>
      </c>
      <c r="E46" s="764" t="str">
        <f>Historicals!F61</f>
        <v/>
      </c>
      <c r="F46" s="764" t="str">
        <f>Historicals!G61</f>
        <v/>
      </c>
      <c r="G46" s="764" t="str">
        <f>Historicals!H61</f>
        <v/>
      </c>
      <c r="H46" s="764" t="str">
        <f>Historicals!I61</f>
        <v/>
      </c>
      <c r="I46" s="764" t="str">
        <f>Historicals!J61</f>
        <v/>
      </c>
      <c r="J46" s="764" t="str">
        <f>Historicals!K61</f>
        <v/>
      </c>
      <c r="K46" s="764" t="str">
        <f>Historicals!L61</f>
        <v/>
      </c>
      <c r="L46" s="764" t="str">
        <f>Historicals!M61</f>
        <v/>
      </c>
      <c r="M46" s="764" t="str">
        <f>Historicals!N61</f>
        <v/>
      </c>
      <c r="N46" s="764" t="str">
        <f>Forecast!D52</f>
        <v/>
      </c>
      <c r="O46" s="764" t="str">
        <f>Forecast!E52</f>
        <v/>
      </c>
      <c r="P46" s="764" t="str">
        <f>Forecast!F52</f>
        <v/>
      </c>
      <c r="Q46" s="764" t="str">
        <f>Forecast!G52</f>
        <v/>
      </c>
      <c r="R46" s="764" t="str">
        <f>Forecast!H52</f>
        <v/>
      </c>
      <c r="S46" s="764" t="str">
        <f>Forecast!I52</f>
        <v/>
      </c>
      <c r="T46" s="764" t="str">
        <f>Forecast!J52</f>
        <v/>
      </c>
      <c r="U46" s="764" t="str">
        <f>Forecast!K52</f>
        <v/>
      </c>
      <c r="V46" s="764" t="str">
        <f>Forecast!L52</f>
        <v/>
      </c>
      <c r="W46" s="764" t="str">
        <f>Forecast!M52</f>
        <v/>
      </c>
      <c r="X46" s="764" t="str">
        <f>Forecast!N52</f>
        <v/>
      </c>
    </row>
    <row r="82" spans="2:24" ht="19">
      <c r="B82" s="200" t="s">
        <v>58</v>
      </c>
      <c r="C82" s="699"/>
      <c r="D82" s="699"/>
      <c r="E82" s="699"/>
      <c r="F82" s="699"/>
      <c r="G82" s="699"/>
      <c r="H82" s="699"/>
      <c r="I82" s="699"/>
      <c r="J82" s="699"/>
      <c r="K82" s="699"/>
      <c r="L82" s="581"/>
      <c r="M82" s="581"/>
    </row>
    <row r="83" spans="2:24" ht="12">
      <c r="B83" s="762" t="str">
        <f>B3</f>
        <v>(USD k)</v>
      </c>
      <c r="C83" s="419" t="str">
        <f t="shared" ref="C83:X83" si="1">C3</f>
        <v>FYTE</v>
      </c>
      <c r="D83" s="419" t="str">
        <f t="shared" si="1"/>
        <v>FYTE</v>
      </c>
      <c r="E83" s="419" t="str">
        <f t="shared" si="1"/>
        <v>FYTE</v>
      </c>
      <c r="F83" s="419" t="str">
        <f t="shared" si="1"/>
        <v>FYTE</v>
      </c>
      <c r="G83" s="419" t="str">
        <f t="shared" si="1"/>
        <v>FYTE</v>
      </c>
      <c r="H83" s="419" t="str">
        <f t="shared" si="1"/>
        <v>FYTE</v>
      </c>
      <c r="I83" s="419" t="str">
        <f t="shared" si="1"/>
        <v>FY21</v>
      </c>
      <c r="J83" s="419" t="str">
        <f t="shared" si="1"/>
        <v>FY22</v>
      </c>
      <c r="K83" s="419" t="str">
        <f t="shared" si="1"/>
        <v>FY23</v>
      </c>
      <c r="L83" s="419" t="str">
        <f t="shared" si="1"/>
        <v>FY24</v>
      </c>
      <c r="M83" s="419" t="str">
        <f t="shared" si="1"/>
        <v>FY25</v>
      </c>
      <c r="N83" s="419" t="str">
        <f t="shared" si="1"/>
        <v>FY26F</v>
      </c>
      <c r="O83" s="419" t="str">
        <f t="shared" si="1"/>
        <v>FY27F</v>
      </c>
      <c r="P83" s="419" t="str">
        <f t="shared" si="1"/>
        <v>FY28F</v>
      </c>
      <c r="Q83" s="419" t="str">
        <f t="shared" si="1"/>
        <v>FY29F</v>
      </c>
      <c r="R83" s="419" t="str">
        <f t="shared" si="1"/>
        <v>FY30F</v>
      </c>
      <c r="S83" s="419" t="str">
        <f t="shared" si="1"/>
        <v>FYTEF</v>
      </c>
      <c r="T83" s="419" t="str">
        <f t="shared" si="1"/>
        <v>FYTEF</v>
      </c>
      <c r="U83" s="419" t="str">
        <f t="shared" si="1"/>
        <v>FYTEF</v>
      </c>
      <c r="V83" s="419" t="str">
        <f t="shared" si="1"/>
        <v>FYTEF</v>
      </c>
      <c r="W83" s="419" t="str">
        <f t="shared" si="1"/>
        <v>FYTEF</v>
      </c>
      <c r="X83" s="419" t="str">
        <f t="shared" si="1"/>
        <v>FYTEF</v>
      </c>
    </row>
    <row r="84" spans="2:24" ht="12">
      <c r="B84" s="699" t="s">
        <v>520</v>
      </c>
      <c r="C84" s="422">
        <f>Historicals!D34</f>
        <v>0</v>
      </c>
      <c r="D84" s="422">
        <f>Historicals!E34</f>
        <v>0</v>
      </c>
      <c r="E84" s="422">
        <f>Historicals!F34</f>
        <v>0</v>
      </c>
      <c r="F84" s="422">
        <f>Historicals!G34</f>
        <v>0</v>
      </c>
      <c r="G84" s="422">
        <f>Historicals!H34</f>
        <v>0</v>
      </c>
      <c r="H84" s="422">
        <f>Historicals!I34</f>
        <v>0</v>
      </c>
      <c r="I84" s="422">
        <f>Historicals!J34</f>
        <v>0</v>
      </c>
      <c r="J84" s="422">
        <f>Historicals!K34</f>
        <v>0</v>
      </c>
      <c r="K84" s="422">
        <f>Historicals!L34</f>
        <v>0</v>
      </c>
      <c r="L84" s="422">
        <f>Historicals!M34</f>
        <v>0</v>
      </c>
      <c r="M84" s="422">
        <f>Historicals!N34</f>
        <v>0</v>
      </c>
    </row>
    <row r="85" spans="2:24" ht="12">
      <c r="B85" s="699" t="s">
        <v>521</v>
      </c>
      <c r="C85" s="422"/>
      <c r="D85" s="422"/>
      <c r="E85" s="422"/>
      <c r="F85" s="422"/>
      <c r="G85" s="422"/>
      <c r="H85" s="422"/>
      <c r="I85" s="422"/>
      <c r="J85" s="422"/>
      <c r="K85" s="422"/>
      <c r="L85" s="422"/>
      <c r="M85" s="422"/>
      <c r="N85" s="423">
        <f>Forecast!D35</f>
        <v>0</v>
      </c>
      <c r="O85" s="423">
        <f>Forecast!E35</f>
        <v>0</v>
      </c>
      <c r="P85" s="423">
        <f>Forecast!F35</f>
        <v>0</v>
      </c>
      <c r="Q85" s="423">
        <f>Forecast!G35</f>
        <v>0</v>
      </c>
      <c r="R85" s="423">
        <f>Forecast!H35</f>
        <v>0</v>
      </c>
      <c r="S85" s="423">
        <f>Forecast!I35</f>
        <v>0</v>
      </c>
      <c r="T85" s="423">
        <f>Forecast!J35</f>
        <v>0</v>
      </c>
      <c r="U85" s="423">
        <f>Forecast!K35</f>
        <v>0</v>
      </c>
      <c r="V85" s="423">
        <f>Forecast!L35</f>
        <v>0</v>
      </c>
      <c r="W85" s="423">
        <f>Forecast!M35</f>
        <v>0</v>
      </c>
      <c r="X85" s="423">
        <f>Forecast!N35</f>
        <v>0</v>
      </c>
    </row>
    <row r="86" spans="2:24" ht="12">
      <c r="B86" s="763" t="s">
        <v>522</v>
      </c>
      <c r="C86" s="764" t="str">
        <f>Historicals!D63</f>
        <v/>
      </c>
      <c r="D86" s="764" t="str">
        <f>Historicals!E63</f>
        <v/>
      </c>
      <c r="E86" s="764" t="str">
        <f>Historicals!F63</f>
        <v/>
      </c>
      <c r="F86" s="764" t="str">
        <f>Historicals!G63</f>
        <v/>
      </c>
      <c r="G86" s="764" t="str">
        <f>Historicals!H63</f>
        <v/>
      </c>
      <c r="H86" s="764" t="str">
        <f>Historicals!I63</f>
        <v/>
      </c>
      <c r="I86" s="764" t="str">
        <f>Historicals!J63</f>
        <v/>
      </c>
      <c r="J86" s="764" t="str">
        <f>Historicals!K63</f>
        <v/>
      </c>
      <c r="K86" s="764" t="str">
        <f>Historicals!L63</f>
        <v/>
      </c>
      <c r="L86" s="764" t="str">
        <f>Historicals!M63</f>
        <v/>
      </c>
      <c r="M86" s="764" t="str">
        <f>Historicals!N63</f>
        <v/>
      </c>
      <c r="N86" s="764" t="str">
        <f>Forecast!D54</f>
        <v/>
      </c>
      <c r="O86" s="764" t="str">
        <f>Forecast!E54</f>
        <v/>
      </c>
      <c r="P86" s="764" t="str">
        <f>Forecast!F54</f>
        <v/>
      </c>
      <c r="Q86" s="764" t="str">
        <f>Forecast!G54</f>
        <v/>
      </c>
      <c r="R86" s="764" t="str">
        <f>Forecast!H54</f>
        <v/>
      </c>
      <c r="S86" s="764" t="str">
        <f>Forecast!I54</f>
        <v/>
      </c>
      <c r="T86" s="764" t="str">
        <f>Forecast!J54</f>
        <v/>
      </c>
      <c r="U86" s="764" t="str">
        <f>Forecast!K54</f>
        <v/>
      </c>
      <c r="V86" s="764" t="str">
        <f>Forecast!L54</f>
        <v/>
      </c>
      <c r="W86" s="764" t="str">
        <f>Forecast!M54</f>
        <v/>
      </c>
      <c r="X86" s="764" t="str">
        <f>Forecast!N54</f>
        <v/>
      </c>
    </row>
    <row r="124" spans="2:24" ht="19">
      <c r="B124" s="200" t="s">
        <v>220</v>
      </c>
      <c r="C124" s="699"/>
      <c r="D124" s="699"/>
      <c r="E124" s="699"/>
      <c r="F124" s="699"/>
      <c r="G124" s="699"/>
      <c r="H124" s="699"/>
      <c r="I124" s="699"/>
      <c r="J124" s="699"/>
      <c r="K124" s="699"/>
      <c r="L124" s="581"/>
      <c r="M124" s="581"/>
    </row>
    <row r="125" spans="2:24" ht="12">
      <c r="B125" s="762" t="str">
        <f>B3</f>
        <v>(USD k)</v>
      </c>
      <c r="C125" s="419" t="str">
        <f t="shared" ref="C125:X125" si="2">C3</f>
        <v>FYTE</v>
      </c>
      <c r="D125" s="419" t="str">
        <f t="shared" si="2"/>
        <v>FYTE</v>
      </c>
      <c r="E125" s="419" t="str">
        <f t="shared" si="2"/>
        <v>FYTE</v>
      </c>
      <c r="F125" s="419" t="str">
        <f t="shared" si="2"/>
        <v>FYTE</v>
      </c>
      <c r="G125" s="419" t="str">
        <f t="shared" si="2"/>
        <v>FYTE</v>
      </c>
      <c r="H125" s="419" t="str">
        <f t="shared" si="2"/>
        <v>FYTE</v>
      </c>
      <c r="I125" s="419" t="str">
        <f t="shared" si="2"/>
        <v>FY21</v>
      </c>
      <c r="J125" s="419" t="str">
        <f t="shared" si="2"/>
        <v>FY22</v>
      </c>
      <c r="K125" s="419" t="str">
        <f t="shared" si="2"/>
        <v>FY23</v>
      </c>
      <c r="L125" s="419" t="str">
        <f t="shared" si="2"/>
        <v>FY24</v>
      </c>
      <c r="M125" s="419" t="str">
        <f t="shared" si="2"/>
        <v>FY25</v>
      </c>
      <c r="N125" s="419" t="str">
        <f t="shared" si="2"/>
        <v>FY26F</v>
      </c>
      <c r="O125" s="419" t="str">
        <f t="shared" si="2"/>
        <v>FY27F</v>
      </c>
      <c r="P125" s="419" t="str">
        <f t="shared" si="2"/>
        <v>FY28F</v>
      </c>
      <c r="Q125" s="419" t="str">
        <f t="shared" si="2"/>
        <v>FY29F</v>
      </c>
      <c r="R125" s="419" t="str">
        <f t="shared" si="2"/>
        <v>FY30F</v>
      </c>
      <c r="S125" s="419" t="str">
        <f t="shared" si="2"/>
        <v>FYTEF</v>
      </c>
      <c r="T125" s="419" t="str">
        <f t="shared" si="2"/>
        <v>FYTEF</v>
      </c>
      <c r="U125" s="419" t="str">
        <f t="shared" si="2"/>
        <v>FYTEF</v>
      </c>
      <c r="V125" s="419" t="str">
        <f t="shared" si="2"/>
        <v>FYTEF</v>
      </c>
      <c r="W125" s="419" t="str">
        <f t="shared" si="2"/>
        <v>FYTEF</v>
      </c>
      <c r="X125" s="419" t="str">
        <f t="shared" si="2"/>
        <v>FYTEF</v>
      </c>
    </row>
    <row r="126" spans="2:24" ht="12">
      <c r="B126" s="699" t="s">
        <v>523</v>
      </c>
      <c r="C126" s="422">
        <f>Historicals!D162</f>
        <v>0</v>
      </c>
      <c r="D126" s="422">
        <f>Historicals!E162</f>
        <v>0</v>
      </c>
      <c r="E126" s="422">
        <f>Historicals!F162</f>
        <v>0</v>
      </c>
      <c r="F126" s="422">
        <f>Historicals!G162</f>
        <v>0</v>
      </c>
      <c r="G126" s="422">
        <f>Historicals!H162</f>
        <v>0</v>
      </c>
      <c r="H126" s="422">
        <f>Historicals!I162</f>
        <v>0</v>
      </c>
      <c r="I126" s="422">
        <f>Historicals!J162</f>
        <v>0</v>
      </c>
      <c r="J126" s="422">
        <f>Historicals!K162</f>
        <v>0</v>
      </c>
      <c r="K126" s="422">
        <f>Historicals!L162</f>
        <v>0</v>
      </c>
      <c r="L126" s="422">
        <f>Historicals!M162</f>
        <v>0</v>
      </c>
      <c r="M126" s="422">
        <f>Historicals!N162</f>
        <v>0</v>
      </c>
    </row>
    <row r="127" spans="2:24" ht="12">
      <c r="B127" s="699" t="s">
        <v>524</v>
      </c>
      <c r="C127" s="422"/>
      <c r="D127" s="422"/>
      <c r="E127" s="422"/>
      <c r="F127" s="422"/>
      <c r="G127" s="422"/>
      <c r="H127" s="422"/>
      <c r="I127" s="422"/>
      <c r="J127" s="422"/>
      <c r="K127" s="422"/>
      <c r="L127" s="422"/>
      <c r="M127" s="422"/>
      <c r="N127" s="423">
        <f>M126-Forecast!D58</f>
        <v>0</v>
      </c>
      <c r="O127" s="423">
        <f>N127-Forecast!E58</f>
        <v>0</v>
      </c>
      <c r="P127" s="423">
        <f>O127-Forecast!F58</f>
        <v>0</v>
      </c>
      <c r="Q127" s="423">
        <f>P127-Forecast!G58</f>
        <v>0</v>
      </c>
      <c r="R127" s="423">
        <f>Q127-Forecast!H58</f>
        <v>0</v>
      </c>
      <c r="S127" s="423">
        <f>R127-Forecast!I58</f>
        <v>0</v>
      </c>
      <c r="T127" s="423">
        <f>S127-Forecast!J58</f>
        <v>0</v>
      </c>
      <c r="U127" s="423">
        <f>T127-Forecast!K58</f>
        <v>0</v>
      </c>
      <c r="V127" s="423">
        <f>U127-Forecast!L58</f>
        <v>0</v>
      </c>
      <c r="W127" s="423">
        <f>V127-Forecast!M58</f>
        <v>0</v>
      </c>
      <c r="X127" s="423">
        <f>W127-Forecast!N58</f>
        <v>0</v>
      </c>
    </row>
    <row r="128" spans="2:24" ht="12">
      <c r="B128" s="763" t="s">
        <v>527</v>
      </c>
      <c r="C128" s="764" t="str">
        <f>Historicals!D164</f>
        <v/>
      </c>
      <c r="D128" s="764" t="str">
        <f>Historicals!E164</f>
        <v/>
      </c>
      <c r="E128" s="764" t="str">
        <f>Historicals!F164</f>
        <v/>
      </c>
      <c r="F128" s="764" t="str">
        <f>Historicals!G164</f>
        <v/>
      </c>
      <c r="G128" s="764" t="str">
        <f>Historicals!H164</f>
        <v/>
      </c>
      <c r="H128" s="764" t="str">
        <f>Historicals!I164</f>
        <v/>
      </c>
      <c r="I128" s="764" t="str">
        <f>Historicals!J164</f>
        <v/>
      </c>
      <c r="J128" s="764" t="str">
        <f>Historicals!K164</f>
        <v/>
      </c>
      <c r="K128" s="764" t="str">
        <f>Historicals!L164</f>
        <v/>
      </c>
      <c r="L128" s="764" t="str">
        <f>Historicals!M164</f>
        <v/>
      </c>
      <c r="M128" s="764" t="str">
        <f>Historicals!N164</f>
        <v/>
      </c>
      <c r="N128" s="764" t="str">
        <f>IFERROR(N127/N5,"")</f>
        <v/>
      </c>
      <c r="O128" s="764" t="str">
        <f t="shared" ref="O128:X128" si="3">IFERROR(O127/O5,"")</f>
        <v/>
      </c>
      <c r="P128" s="764" t="str">
        <f t="shared" si="3"/>
        <v/>
      </c>
      <c r="Q128" s="764" t="str">
        <f t="shared" si="3"/>
        <v/>
      </c>
      <c r="R128" s="764" t="str">
        <f t="shared" si="3"/>
        <v/>
      </c>
      <c r="S128" s="764" t="str">
        <f t="shared" si="3"/>
        <v/>
      </c>
      <c r="T128" s="764" t="str">
        <f t="shared" si="3"/>
        <v/>
      </c>
      <c r="U128" s="764" t="str">
        <f t="shared" si="3"/>
        <v/>
      </c>
      <c r="V128" s="764" t="str">
        <f t="shared" si="3"/>
        <v/>
      </c>
      <c r="W128" s="764" t="str">
        <f t="shared" si="3"/>
        <v/>
      </c>
      <c r="X128" s="764" t="str">
        <f t="shared" si="3"/>
        <v/>
      </c>
    </row>
    <row r="166" spans="2:24" ht="19">
      <c r="B166" s="200" t="s">
        <v>132</v>
      </c>
      <c r="C166" s="699"/>
      <c r="D166" s="699"/>
      <c r="E166" s="699"/>
      <c r="F166" s="699"/>
      <c r="G166" s="699"/>
      <c r="H166" s="699"/>
      <c r="I166" s="699"/>
      <c r="J166" s="699"/>
      <c r="K166" s="699"/>
      <c r="L166" s="581"/>
      <c r="M166" s="581"/>
    </row>
    <row r="167" spans="2:24" ht="12">
      <c r="B167" s="762" t="str">
        <f>B3</f>
        <v>(USD k)</v>
      </c>
      <c r="C167" s="419" t="str">
        <f t="shared" ref="C167:X167" si="4">C3</f>
        <v>FYTE</v>
      </c>
      <c r="D167" s="419" t="str">
        <f t="shared" si="4"/>
        <v>FYTE</v>
      </c>
      <c r="E167" s="419" t="str">
        <f t="shared" si="4"/>
        <v>FYTE</v>
      </c>
      <c r="F167" s="419" t="str">
        <f t="shared" si="4"/>
        <v>FYTE</v>
      </c>
      <c r="G167" s="419" t="str">
        <f t="shared" si="4"/>
        <v>FYTE</v>
      </c>
      <c r="H167" s="419" t="str">
        <f t="shared" si="4"/>
        <v>FYTE</v>
      </c>
      <c r="I167" s="419" t="str">
        <f t="shared" si="4"/>
        <v>FY21</v>
      </c>
      <c r="J167" s="419" t="str">
        <f t="shared" si="4"/>
        <v>FY22</v>
      </c>
      <c r="K167" s="419" t="str">
        <f t="shared" si="4"/>
        <v>FY23</v>
      </c>
      <c r="L167" s="419" t="str">
        <f t="shared" si="4"/>
        <v>FY24</v>
      </c>
      <c r="M167" s="419" t="str">
        <f t="shared" si="4"/>
        <v>FY25</v>
      </c>
      <c r="N167" s="419" t="str">
        <f t="shared" si="4"/>
        <v>FY26F</v>
      </c>
      <c r="O167" s="419" t="str">
        <f t="shared" si="4"/>
        <v>FY27F</v>
      </c>
      <c r="P167" s="419" t="str">
        <f t="shared" si="4"/>
        <v>FY28F</v>
      </c>
      <c r="Q167" s="419" t="str">
        <f t="shared" si="4"/>
        <v>FY29F</v>
      </c>
      <c r="R167" s="419" t="str">
        <f t="shared" si="4"/>
        <v>FY30F</v>
      </c>
      <c r="S167" s="419" t="str">
        <f t="shared" si="4"/>
        <v>FYTEF</v>
      </c>
      <c r="T167" s="419" t="str">
        <f t="shared" si="4"/>
        <v>FYTEF</v>
      </c>
      <c r="U167" s="419" t="str">
        <f t="shared" si="4"/>
        <v>FYTEF</v>
      </c>
      <c r="V167" s="419" t="str">
        <f t="shared" si="4"/>
        <v>FYTEF</v>
      </c>
      <c r="W167" s="419" t="str">
        <f t="shared" si="4"/>
        <v>FYTEF</v>
      </c>
      <c r="X167" s="419" t="str">
        <f t="shared" si="4"/>
        <v>FYTEF</v>
      </c>
    </row>
    <row r="168" spans="2:24" ht="12">
      <c r="B168" s="699" t="s">
        <v>525</v>
      </c>
      <c r="C168" s="422">
        <f>-Historicals!D143</f>
        <v>0</v>
      </c>
      <c r="D168" s="422">
        <f>-Historicals!E143</f>
        <v>0</v>
      </c>
      <c r="E168" s="422">
        <f>-Historicals!F143</f>
        <v>0</v>
      </c>
      <c r="F168" s="422">
        <f>-Historicals!G143</f>
        <v>0</v>
      </c>
      <c r="G168" s="422">
        <f>-Historicals!H143</f>
        <v>0</v>
      </c>
      <c r="H168" s="422">
        <f>-Historicals!I143</f>
        <v>0</v>
      </c>
      <c r="I168" s="422">
        <f>-Historicals!J143</f>
        <v>0</v>
      </c>
      <c r="J168" s="422">
        <f>-Historicals!K143</f>
        <v>0</v>
      </c>
      <c r="K168" s="422">
        <f>-Historicals!L143</f>
        <v>0</v>
      </c>
      <c r="L168" s="422">
        <f>-Historicals!M143</f>
        <v>0</v>
      </c>
      <c r="M168" s="422">
        <f>-Historicals!N143</f>
        <v>0</v>
      </c>
    </row>
    <row r="169" spans="2:24" ht="12">
      <c r="B169" s="699" t="s">
        <v>526</v>
      </c>
      <c r="C169" s="422"/>
      <c r="D169" s="422"/>
      <c r="E169" s="422"/>
      <c r="F169" s="422"/>
      <c r="G169" s="422"/>
      <c r="H169" s="422"/>
      <c r="I169" s="422"/>
      <c r="J169" s="422"/>
      <c r="K169" s="422"/>
      <c r="L169" s="422"/>
      <c r="M169" s="422"/>
      <c r="N169" s="423">
        <f>-Forecast!D57</f>
        <v>0</v>
      </c>
      <c r="O169" s="423">
        <f>-Forecast!E57</f>
        <v>0</v>
      </c>
      <c r="P169" s="423">
        <f>-Forecast!F57</f>
        <v>0</v>
      </c>
      <c r="Q169" s="423">
        <f>-Forecast!G57</f>
        <v>0</v>
      </c>
      <c r="R169" s="423">
        <f>-Forecast!H57</f>
        <v>0</v>
      </c>
      <c r="S169" s="423">
        <f>-Forecast!I57</f>
        <v>0</v>
      </c>
      <c r="T169" s="423">
        <f>-Forecast!J57</f>
        <v>0</v>
      </c>
      <c r="U169" s="423">
        <f>-Forecast!K57</f>
        <v>0</v>
      </c>
      <c r="V169" s="423">
        <f>-Forecast!L57</f>
        <v>0</v>
      </c>
      <c r="W169" s="423">
        <f>-Forecast!M57</f>
        <v>0</v>
      </c>
      <c r="X169" s="423">
        <f>-Forecast!N57</f>
        <v>0</v>
      </c>
    </row>
    <row r="170" spans="2:24" ht="12">
      <c r="B170" s="763" t="s">
        <v>528</v>
      </c>
      <c r="C170" s="764" t="str">
        <f>IFERROR(C168/C4,"")</f>
        <v/>
      </c>
      <c r="D170" s="764" t="str">
        <f t="shared" ref="D170:M170" si="5">IFERROR(D168/D4,"")</f>
        <v/>
      </c>
      <c r="E170" s="764" t="str">
        <f t="shared" si="5"/>
        <v/>
      </c>
      <c r="F170" s="764" t="str">
        <f t="shared" si="5"/>
        <v/>
      </c>
      <c r="G170" s="764" t="str">
        <f t="shared" si="5"/>
        <v/>
      </c>
      <c r="H170" s="764" t="str">
        <f t="shared" si="5"/>
        <v/>
      </c>
      <c r="I170" s="764" t="str">
        <f t="shared" si="5"/>
        <v/>
      </c>
      <c r="J170" s="764" t="str">
        <f t="shared" si="5"/>
        <v/>
      </c>
      <c r="K170" s="764" t="str">
        <f t="shared" si="5"/>
        <v/>
      </c>
      <c r="L170" s="764" t="str">
        <f t="shared" si="5"/>
        <v/>
      </c>
      <c r="M170" s="764" t="str">
        <f t="shared" si="5"/>
        <v/>
      </c>
      <c r="N170" s="764" t="str">
        <f>IFERROR(N169/N5,"")</f>
        <v/>
      </c>
      <c r="O170" s="764" t="str">
        <f t="shared" ref="O170:X170" si="6">IFERROR(O169/O5,"")</f>
        <v/>
      </c>
      <c r="P170" s="764" t="str">
        <f t="shared" si="6"/>
        <v/>
      </c>
      <c r="Q170" s="764" t="str">
        <f t="shared" si="6"/>
        <v/>
      </c>
      <c r="R170" s="764" t="str">
        <f t="shared" si="6"/>
        <v/>
      </c>
      <c r="S170" s="764" t="str">
        <f t="shared" si="6"/>
        <v/>
      </c>
      <c r="T170" s="764" t="str">
        <f t="shared" si="6"/>
        <v/>
      </c>
      <c r="U170" s="764" t="str">
        <f t="shared" si="6"/>
        <v/>
      </c>
      <c r="V170" s="764" t="str">
        <f t="shared" si="6"/>
        <v/>
      </c>
      <c r="W170" s="764" t="str">
        <f t="shared" si="6"/>
        <v/>
      </c>
      <c r="X170" s="764" t="str">
        <f t="shared" si="6"/>
        <v/>
      </c>
    </row>
  </sheetData>
  <conditionalFormatting sqref="C3:M3">
    <cfRule type="cellIs" dxfId="71" priority="16" operator="equal">
      <formula>"FYTE"</formula>
    </cfRule>
  </conditionalFormatting>
  <conditionalFormatting sqref="C43:M43">
    <cfRule type="cellIs" dxfId="70" priority="12" operator="equal">
      <formula>"FYTE"</formula>
    </cfRule>
  </conditionalFormatting>
  <conditionalFormatting sqref="C83:M83">
    <cfRule type="cellIs" dxfId="69" priority="9" operator="equal">
      <formula>"FYTE"</formula>
    </cfRule>
  </conditionalFormatting>
  <conditionalFormatting sqref="C125:M125">
    <cfRule type="cellIs" dxfId="68" priority="6" operator="equal">
      <formula>"FYTE"</formula>
    </cfRule>
  </conditionalFormatting>
  <conditionalFormatting sqref="C167:M167">
    <cfRule type="cellIs" dxfId="67" priority="3" operator="equal">
      <formula>"FYTE"</formula>
    </cfRule>
  </conditionalFormatting>
  <conditionalFormatting sqref="N3:X3">
    <cfRule type="cellIs" dxfId="66" priority="14" operator="equal">
      <formula>0</formula>
    </cfRule>
    <cfRule type="cellIs" dxfId="65" priority="15" operator="equal">
      <formula>"FYTEF"</formula>
    </cfRule>
  </conditionalFormatting>
  <conditionalFormatting sqref="N43:X43">
    <cfRule type="cellIs" dxfId="64" priority="10" operator="equal">
      <formula>0</formula>
    </cfRule>
    <cfRule type="cellIs" dxfId="63" priority="11" operator="equal">
      <formula>"FYTEF"</formula>
    </cfRule>
  </conditionalFormatting>
  <conditionalFormatting sqref="N83:X83">
    <cfRule type="cellIs" dxfId="62" priority="7" operator="equal">
      <formula>0</formula>
    </cfRule>
    <cfRule type="cellIs" dxfId="61" priority="8" operator="equal">
      <formula>"FYTEF"</formula>
    </cfRule>
  </conditionalFormatting>
  <conditionalFormatting sqref="N125:X125">
    <cfRule type="cellIs" dxfId="60" priority="4" operator="equal">
      <formula>0</formula>
    </cfRule>
    <cfRule type="cellIs" dxfId="59" priority="5" operator="equal">
      <formula>"FYTEF"</formula>
    </cfRule>
  </conditionalFormatting>
  <conditionalFormatting sqref="N167:X167">
    <cfRule type="cellIs" dxfId="58" priority="1" operator="equal">
      <formula>0</formula>
    </cfRule>
    <cfRule type="cellIs" dxfId="57" priority="2" operator="equal">
      <formula>"FYTEF"</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883A-ABBA-4EB4-BBB1-F50A0B92E759}">
  <sheetPr>
    <tabColor rgb="FF0A1F8F"/>
  </sheetPr>
  <dimension ref="A1:II1"/>
  <sheetViews>
    <sheetView workbookViewId="0"/>
  </sheetViews>
  <sheetFormatPr defaultRowHeight="10"/>
  <sheetData>
    <row r="1" spans="1:243">
      <c r="A1">
        <v>243</v>
      </c>
      <c r="B1" t="s">
        <v>609</v>
      </c>
      <c r="C1" t="s">
        <v>610</v>
      </c>
      <c r="D1" t="s">
        <v>611</v>
      </c>
      <c r="E1" t="s">
        <v>612</v>
      </c>
      <c r="F1" t="s">
        <v>613</v>
      </c>
      <c r="G1" t="s">
        <v>614</v>
      </c>
      <c r="H1" t="s">
        <v>615</v>
      </c>
      <c r="I1" t="s">
        <v>616</v>
      </c>
      <c r="J1" t="s">
        <v>617</v>
      </c>
      <c r="K1" t="s">
        <v>618</v>
      </c>
      <c r="L1" t="s">
        <v>619</v>
      </c>
      <c r="M1" t="s">
        <v>620</v>
      </c>
      <c r="N1" t="s">
        <v>621</v>
      </c>
      <c r="O1" t="s">
        <v>622</v>
      </c>
      <c r="P1" t="s">
        <v>623</v>
      </c>
      <c r="Q1" t="s">
        <v>624</v>
      </c>
      <c r="R1" t="s">
        <v>625</v>
      </c>
      <c r="S1" t="s">
        <v>626</v>
      </c>
      <c r="T1" t="s">
        <v>627</v>
      </c>
      <c r="U1" t="s">
        <v>628</v>
      </c>
      <c r="V1" t="s">
        <v>629</v>
      </c>
      <c r="W1" t="s">
        <v>630</v>
      </c>
      <c r="X1" t="s">
        <v>631</v>
      </c>
      <c r="Y1" t="s">
        <v>632</v>
      </c>
      <c r="Z1" t="s">
        <v>633</v>
      </c>
      <c r="AA1" t="s">
        <v>634</v>
      </c>
      <c r="AB1" t="s">
        <v>635</v>
      </c>
      <c r="AC1" t="s">
        <v>636</v>
      </c>
      <c r="AD1" t="s">
        <v>637</v>
      </c>
      <c r="AE1" t="s">
        <v>638</v>
      </c>
      <c r="AF1" t="s">
        <v>639</v>
      </c>
      <c r="AG1" t="s">
        <v>640</v>
      </c>
      <c r="AH1" t="s">
        <v>641</v>
      </c>
      <c r="AI1" t="s">
        <v>642</v>
      </c>
      <c r="AJ1" t="s">
        <v>643</v>
      </c>
      <c r="AK1" t="s">
        <v>644</v>
      </c>
      <c r="AL1" t="s">
        <v>645</v>
      </c>
      <c r="AM1" t="s">
        <v>646</v>
      </c>
      <c r="AN1" t="s">
        <v>647</v>
      </c>
      <c r="AO1" t="s">
        <v>648</v>
      </c>
      <c r="AP1" t="s">
        <v>649</v>
      </c>
      <c r="AQ1" t="s">
        <v>650</v>
      </c>
      <c r="AR1" t="s">
        <v>651</v>
      </c>
      <c r="AS1" t="s">
        <v>652</v>
      </c>
      <c r="AT1" t="s">
        <v>653</v>
      </c>
      <c r="AU1" t="s">
        <v>654</v>
      </c>
      <c r="AV1" t="s">
        <v>655</v>
      </c>
      <c r="AW1" t="s">
        <v>656</v>
      </c>
      <c r="AX1" t="s">
        <v>657</v>
      </c>
      <c r="AY1" t="s">
        <v>658</v>
      </c>
      <c r="AZ1" t="s">
        <v>659</v>
      </c>
      <c r="BA1" t="s">
        <v>660</v>
      </c>
      <c r="BB1" t="s">
        <v>661</v>
      </c>
      <c r="BC1" t="s">
        <v>662</v>
      </c>
      <c r="BD1" t="s">
        <v>663</v>
      </c>
      <c r="BE1" t="s">
        <v>664</v>
      </c>
      <c r="BF1" t="s">
        <v>665</v>
      </c>
      <c r="BG1" t="s">
        <v>666</v>
      </c>
      <c r="BH1" t="s">
        <v>667</v>
      </c>
      <c r="BI1" t="s">
        <v>668</v>
      </c>
      <c r="BJ1" t="s">
        <v>669</v>
      </c>
      <c r="BK1" t="s">
        <v>670</v>
      </c>
      <c r="BL1" t="s">
        <v>671</v>
      </c>
      <c r="BM1" t="s">
        <v>672</v>
      </c>
      <c r="BN1" t="s">
        <v>673</v>
      </c>
      <c r="BO1" t="s">
        <v>674</v>
      </c>
      <c r="BP1" t="s">
        <v>675</v>
      </c>
      <c r="BQ1" t="s">
        <v>676</v>
      </c>
      <c r="BR1" t="s">
        <v>677</v>
      </c>
      <c r="BS1" t="s">
        <v>678</v>
      </c>
      <c r="BT1" t="s">
        <v>679</v>
      </c>
      <c r="BU1" t="s">
        <v>680</v>
      </c>
      <c r="BV1" t="s">
        <v>681</v>
      </c>
      <c r="BW1" t="s">
        <v>682</v>
      </c>
      <c r="BX1" t="s">
        <v>683</v>
      </c>
      <c r="BY1" t="s">
        <v>684</v>
      </c>
      <c r="BZ1" t="s">
        <v>685</v>
      </c>
      <c r="CA1" t="s">
        <v>686</v>
      </c>
      <c r="CB1" t="s">
        <v>687</v>
      </c>
      <c r="CC1" t="s">
        <v>688</v>
      </c>
      <c r="CD1" t="s">
        <v>689</v>
      </c>
      <c r="CE1" t="s">
        <v>690</v>
      </c>
      <c r="CF1" t="s">
        <v>691</v>
      </c>
      <c r="CG1" t="s">
        <v>692</v>
      </c>
      <c r="CH1" t="s">
        <v>693</v>
      </c>
      <c r="CI1" t="s">
        <v>694</v>
      </c>
      <c r="CJ1" t="s">
        <v>695</v>
      </c>
      <c r="CK1" t="s">
        <v>696</v>
      </c>
      <c r="CL1" t="s">
        <v>697</v>
      </c>
      <c r="CM1" t="s">
        <v>698</v>
      </c>
      <c r="CN1" t="s">
        <v>699</v>
      </c>
      <c r="CO1" t="s">
        <v>700</v>
      </c>
      <c r="CP1" t="s">
        <v>701</v>
      </c>
      <c r="CQ1" t="s">
        <v>702</v>
      </c>
      <c r="CR1" t="s">
        <v>703</v>
      </c>
      <c r="CS1" t="s">
        <v>704</v>
      </c>
      <c r="CT1" t="s">
        <v>705</v>
      </c>
      <c r="CU1" t="s">
        <v>706</v>
      </c>
      <c r="CV1" t="s">
        <v>707</v>
      </c>
      <c r="CW1" t="s">
        <v>708</v>
      </c>
      <c r="CX1" t="s">
        <v>709</v>
      </c>
      <c r="CY1" t="s">
        <v>710</v>
      </c>
      <c r="CZ1" t="s">
        <v>711</v>
      </c>
      <c r="DA1" t="s">
        <v>712</v>
      </c>
      <c r="DB1" t="s">
        <v>713</v>
      </c>
      <c r="DC1" t="s">
        <v>714</v>
      </c>
      <c r="DD1" t="s">
        <v>715</v>
      </c>
      <c r="DE1" t="s">
        <v>716</v>
      </c>
      <c r="DF1" t="s">
        <v>717</v>
      </c>
      <c r="DG1" t="s">
        <v>718</v>
      </c>
      <c r="DH1" t="s">
        <v>719</v>
      </c>
      <c r="DI1" t="s">
        <v>720</v>
      </c>
      <c r="DJ1" t="s">
        <v>721</v>
      </c>
      <c r="DK1" t="s">
        <v>722</v>
      </c>
      <c r="DL1" t="s">
        <v>723</v>
      </c>
      <c r="DM1" t="s">
        <v>724</v>
      </c>
      <c r="DN1" t="s">
        <v>725</v>
      </c>
      <c r="DO1" t="s">
        <v>726</v>
      </c>
      <c r="DP1" t="s">
        <v>727</v>
      </c>
      <c r="DQ1" t="s">
        <v>728</v>
      </c>
      <c r="DR1" t="s">
        <v>729</v>
      </c>
      <c r="DS1" t="s">
        <v>730</v>
      </c>
      <c r="DT1" t="s">
        <v>731</v>
      </c>
      <c r="DU1" t="s">
        <v>732</v>
      </c>
      <c r="DV1" t="s">
        <v>733</v>
      </c>
      <c r="DW1" t="s">
        <v>734</v>
      </c>
      <c r="DX1" t="s">
        <v>735</v>
      </c>
      <c r="DY1" t="s">
        <v>736</v>
      </c>
      <c r="DZ1" t="s">
        <v>737</v>
      </c>
      <c r="EA1" t="s">
        <v>738</v>
      </c>
      <c r="EB1" t="s">
        <v>739</v>
      </c>
      <c r="EC1" t="s">
        <v>740</v>
      </c>
      <c r="ED1" t="s">
        <v>741</v>
      </c>
      <c r="EE1" t="s">
        <v>742</v>
      </c>
      <c r="EF1" t="s">
        <v>743</v>
      </c>
      <c r="EG1" t="s">
        <v>744</v>
      </c>
      <c r="EH1" t="s">
        <v>745</v>
      </c>
      <c r="EI1" t="s">
        <v>746</v>
      </c>
      <c r="EJ1" t="s">
        <v>747</v>
      </c>
      <c r="EK1" t="s">
        <v>748</v>
      </c>
      <c r="EL1" t="s">
        <v>749</v>
      </c>
      <c r="EM1" t="s">
        <v>750</v>
      </c>
      <c r="EN1" t="s">
        <v>751</v>
      </c>
      <c r="EO1" t="s">
        <v>752</v>
      </c>
      <c r="EP1" t="s">
        <v>753</v>
      </c>
      <c r="EQ1" t="s">
        <v>754</v>
      </c>
      <c r="ER1" t="s">
        <v>755</v>
      </c>
      <c r="ES1" t="s">
        <v>756</v>
      </c>
      <c r="ET1" t="s">
        <v>757</v>
      </c>
      <c r="EU1" t="s">
        <v>758</v>
      </c>
      <c r="EV1" t="s">
        <v>759</v>
      </c>
      <c r="EW1" t="s">
        <v>760</v>
      </c>
      <c r="EX1" t="s">
        <v>761</v>
      </c>
      <c r="EY1" t="s">
        <v>762</v>
      </c>
      <c r="EZ1" t="s">
        <v>763</v>
      </c>
      <c r="FA1" t="s">
        <v>764</v>
      </c>
      <c r="FB1" t="s">
        <v>765</v>
      </c>
      <c r="FC1" t="s">
        <v>766</v>
      </c>
      <c r="FD1" t="s">
        <v>767</v>
      </c>
      <c r="FE1" t="s">
        <v>768</v>
      </c>
      <c r="FF1" t="s">
        <v>769</v>
      </c>
      <c r="FG1" t="s">
        <v>770</v>
      </c>
      <c r="FH1" t="s">
        <v>771</v>
      </c>
      <c r="FI1" t="s">
        <v>772</v>
      </c>
      <c r="FJ1" t="s">
        <v>773</v>
      </c>
      <c r="FK1" t="s">
        <v>774</v>
      </c>
      <c r="FL1" t="s">
        <v>775</v>
      </c>
      <c r="FM1" t="s">
        <v>776</v>
      </c>
      <c r="FN1" t="s">
        <v>777</v>
      </c>
      <c r="FO1" t="s">
        <v>778</v>
      </c>
      <c r="FP1" t="s">
        <v>779</v>
      </c>
      <c r="FQ1" t="s">
        <v>780</v>
      </c>
      <c r="FR1" t="s">
        <v>781</v>
      </c>
      <c r="FS1" t="s">
        <v>782</v>
      </c>
      <c r="FT1" t="s">
        <v>783</v>
      </c>
      <c r="FU1" t="s">
        <v>784</v>
      </c>
      <c r="FV1" t="s">
        <v>785</v>
      </c>
      <c r="FW1" t="s">
        <v>786</v>
      </c>
      <c r="FX1" t="s">
        <v>787</v>
      </c>
      <c r="FY1" t="s">
        <v>788</v>
      </c>
      <c r="FZ1" t="s">
        <v>789</v>
      </c>
      <c r="GA1" t="s">
        <v>790</v>
      </c>
      <c r="GB1" t="s">
        <v>791</v>
      </c>
      <c r="GC1" t="s">
        <v>792</v>
      </c>
      <c r="GD1" t="s">
        <v>793</v>
      </c>
      <c r="GE1" t="s">
        <v>794</v>
      </c>
      <c r="GF1" t="s">
        <v>795</v>
      </c>
      <c r="GG1" t="s">
        <v>796</v>
      </c>
      <c r="GH1" t="s">
        <v>797</v>
      </c>
      <c r="GI1" t="s">
        <v>798</v>
      </c>
      <c r="GJ1" t="s">
        <v>799</v>
      </c>
      <c r="GK1" t="s">
        <v>800</v>
      </c>
      <c r="GL1" t="s">
        <v>801</v>
      </c>
      <c r="GM1" t="s">
        <v>802</v>
      </c>
      <c r="GN1" t="s">
        <v>803</v>
      </c>
      <c r="GO1" t="s">
        <v>804</v>
      </c>
      <c r="GP1" t="s">
        <v>805</v>
      </c>
      <c r="GQ1" t="s">
        <v>806</v>
      </c>
      <c r="GR1" t="s">
        <v>807</v>
      </c>
      <c r="GS1" t="s">
        <v>808</v>
      </c>
      <c r="GT1" t="s">
        <v>809</v>
      </c>
      <c r="GU1" t="s">
        <v>810</v>
      </c>
      <c r="GV1" t="s">
        <v>811</v>
      </c>
      <c r="GW1" t="s">
        <v>812</v>
      </c>
      <c r="GX1" t="s">
        <v>813</v>
      </c>
      <c r="GY1" t="s">
        <v>814</v>
      </c>
      <c r="GZ1" t="s">
        <v>815</v>
      </c>
      <c r="HA1" t="s">
        <v>816</v>
      </c>
      <c r="HB1" t="s">
        <v>817</v>
      </c>
      <c r="HC1" t="s">
        <v>818</v>
      </c>
      <c r="HD1" t="s">
        <v>819</v>
      </c>
      <c r="HE1" t="s">
        <v>820</v>
      </c>
      <c r="HF1" t="s">
        <v>821</v>
      </c>
      <c r="HG1" t="s">
        <v>822</v>
      </c>
      <c r="HH1" t="s">
        <v>823</v>
      </c>
      <c r="HI1" t="s">
        <v>824</v>
      </c>
      <c r="HJ1" t="s">
        <v>825</v>
      </c>
      <c r="HK1" t="s">
        <v>826</v>
      </c>
      <c r="HL1" t="s">
        <v>827</v>
      </c>
      <c r="HM1" t="s">
        <v>828</v>
      </c>
      <c r="HN1" t="s">
        <v>829</v>
      </c>
      <c r="HO1" t="s">
        <v>830</v>
      </c>
      <c r="HP1" t="s">
        <v>831</v>
      </c>
      <c r="HQ1" t="s">
        <v>832</v>
      </c>
      <c r="HR1" t="s">
        <v>833</v>
      </c>
      <c r="HS1" t="s">
        <v>834</v>
      </c>
      <c r="HT1" t="s">
        <v>835</v>
      </c>
      <c r="HU1" t="s">
        <v>836</v>
      </c>
      <c r="HV1" t="s">
        <v>837</v>
      </c>
      <c r="HW1" t="s">
        <v>838</v>
      </c>
      <c r="HX1" t="s">
        <v>839</v>
      </c>
      <c r="HY1" t="s">
        <v>840</v>
      </c>
      <c r="HZ1" t="s">
        <v>841</v>
      </c>
      <c r="IA1" t="s">
        <v>842</v>
      </c>
      <c r="IB1" t="s">
        <v>843</v>
      </c>
      <c r="IC1" t="s">
        <v>844</v>
      </c>
      <c r="ID1" t="s">
        <v>845</v>
      </c>
      <c r="IE1" t="s">
        <v>846</v>
      </c>
      <c r="IF1" t="s">
        <v>847</v>
      </c>
      <c r="IG1" t="s">
        <v>848</v>
      </c>
      <c r="IH1" t="s">
        <v>849</v>
      </c>
      <c r="II1" t="s">
        <v>850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1B3BD-69DA-4196-8E1B-85F3C97C0EC2}">
  <sheetPr>
    <tabColor rgb="FF0A1F8F"/>
  </sheetPr>
  <dimension ref="B3:V75"/>
  <sheetViews>
    <sheetView showGridLines="0" tabSelected="1" topLeftCell="C1" zoomScale="70" zoomScaleNormal="70" workbookViewId="0">
      <selection activeCell="T16" sqref="T16"/>
    </sheetView>
  </sheetViews>
  <sheetFormatPr defaultRowHeight="10"/>
  <cols>
    <col min="2" max="2" width="40" customWidth="1"/>
    <col min="3" max="3" width="12.109375" bestFit="1" customWidth="1"/>
    <col min="4" max="4" width="22.6640625" customWidth="1"/>
    <col min="5" max="7" width="12.109375" bestFit="1" customWidth="1"/>
    <col min="8" max="8" width="40" bestFit="1" customWidth="1"/>
    <col min="9" max="9" width="9.6640625" bestFit="1" customWidth="1"/>
    <col min="10" max="10" width="22.44140625" customWidth="1"/>
    <col min="11" max="11" width="15.77734375" customWidth="1"/>
    <col min="12" max="12" width="12.44140625" bestFit="1" customWidth="1"/>
    <col min="13" max="13" width="32.109375" bestFit="1" customWidth="1"/>
    <col min="14" max="14" width="15.6640625" customWidth="1"/>
    <col min="15" max="15" width="16.44140625" customWidth="1"/>
    <col min="16" max="16" width="15.6640625" customWidth="1"/>
    <col min="17" max="18" width="9" bestFit="1" customWidth="1"/>
    <col min="19" max="19" width="41.44140625" bestFit="1" customWidth="1"/>
    <col min="20" max="20" width="9" bestFit="1" customWidth="1"/>
    <col min="21" max="21" width="19.44140625" customWidth="1"/>
    <col min="22" max="22" width="15.109375" customWidth="1"/>
    <col min="23" max="24" width="9" bestFit="1" customWidth="1"/>
  </cols>
  <sheetData>
    <row r="3" spans="2:22" ht="27.5">
      <c r="B3" s="18" t="s">
        <v>530</v>
      </c>
    </row>
    <row r="4" spans="2:22" ht="19">
      <c r="B4" s="200" t="s">
        <v>531</v>
      </c>
      <c r="H4" s="200" t="s">
        <v>533</v>
      </c>
      <c r="M4" s="200" t="s">
        <v>534</v>
      </c>
      <c r="S4" s="200" t="s">
        <v>536</v>
      </c>
    </row>
    <row r="5" spans="2:22" s="699" customFormat="1" ht="19">
      <c r="M5" s="200"/>
      <c r="N5"/>
      <c r="O5"/>
      <c r="P5"/>
      <c r="S5" s="200"/>
      <c r="T5"/>
      <c r="U5"/>
      <c r="V5"/>
    </row>
    <row r="6" spans="2:22" s="699" customFormat="1" ht="12">
      <c r="B6" s="766" t="s">
        <v>2</v>
      </c>
      <c r="C6" s="766" t="s">
        <v>123</v>
      </c>
      <c r="D6" s="766" t="s">
        <v>121</v>
      </c>
      <c r="E6" s="767" t="s">
        <v>532</v>
      </c>
      <c r="H6" s="766" t="s">
        <v>2</v>
      </c>
      <c r="I6" s="766" t="s">
        <v>123</v>
      </c>
      <c r="J6" s="769" t="s">
        <v>83</v>
      </c>
      <c r="K6" s="767" t="s">
        <v>532</v>
      </c>
      <c r="M6" s="766" t="s">
        <v>2</v>
      </c>
      <c r="N6" s="766" t="s">
        <v>123</v>
      </c>
      <c r="O6" s="772" t="s">
        <v>535</v>
      </c>
      <c r="P6" s="767" t="s">
        <v>532</v>
      </c>
      <c r="S6" s="766" t="s">
        <v>2</v>
      </c>
      <c r="T6" s="766" t="s">
        <v>123</v>
      </c>
      <c r="U6" s="772" t="s">
        <v>385</v>
      </c>
      <c r="V6" s="767" t="s">
        <v>532</v>
      </c>
    </row>
    <row r="7" spans="2:22" s="699" customFormat="1" ht="12">
      <c r="B7" s="773" t="str">
        <f>'Market '!B9</f>
        <v>Netflix</v>
      </c>
      <c r="C7" s="773" t="s">
        <v>165</v>
      </c>
      <c r="D7" s="774">
        <f ca="1">'Market '!D9</f>
        <v>0</v>
      </c>
      <c r="E7" s="773">
        <f ca="1">RANK(D7,$D$7:$D$16,0)</f>
        <v>10</v>
      </c>
      <c r="H7" s="773" t="str">
        <f>'Market '!B9</f>
        <v>Netflix</v>
      </c>
      <c r="I7" s="773" t="s">
        <v>165</v>
      </c>
      <c r="J7" s="775" t="str">
        <f>'Market '!E9</f>
        <v/>
      </c>
      <c r="K7" s="773" t="str">
        <f>IFERROR(RANK(J7,$J$7:$J$16,0),"")</f>
        <v/>
      </c>
      <c r="M7" s="773" t="str">
        <f>'Market '!B9</f>
        <v>Netflix</v>
      </c>
      <c r="N7" s="773" t="s">
        <v>165</v>
      </c>
      <c r="O7" s="775" t="str">
        <f>'Market '!F9</f>
        <v/>
      </c>
      <c r="P7" s="773" t="str">
        <f>IFERROR(RANK(O7,$O$7:$O$16,0),"")</f>
        <v/>
      </c>
      <c r="S7" s="773" t="str">
        <f>'Market '!B9</f>
        <v>Netflix</v>
      </c>
      <c r="T7" s="773" t="s">
        <v>165</v>
      </c>
      <c r="U7" s="777">
        <f>IFERROR('Market '!G9,"")</f>
        <v>0</v>
      </c>
      <c r="V7" s="773">
        <f>IFERROR(RANK(U7,$U$7:$U$16,0),"0")</f>
        <v>10</v>
      </c>
    </row>
    <row r="8" spans="2:22" s="699" customFormat="1" ht="12">
      <c r="B8" s="699" t="str">
        <f>'Market '!B10</f>
        <v>Netflix, Inc.</v>
      </c>
      <c r="C8" s="699" t="str">
        <f>'Market '!C10</f>
        <v>NasdaqGS:NFLX</v>
      </c>
      <c r="D8" s="765">
        <f>'Market '!D10</f>
        <v>397291.43635999999</v>
      </c>
      <c r="E8" s="699">
        <f ca="1">IFERROR(RANK(D8,$D$7:$D$16,0),"")</f>
        <v>1</v>
      </c>
      <c r="H8" s="699" t="str">
        <f>'Market '!B10</f>
        <v>Netflix, Inc.</v>
      </c>
      <c r="I8" s="699" t="str">
        <f>'Market '!C10</f>
        <v>NasdaqGS:NFLX</v>
      </c>
      <c r="J8" s="768">
        <f>'Market '!E10</f>
        <v>0.29494700000000001</v>
      </c>
      <c r="K8" s="699">
        <f>IFERROR(RANK(J8,$J$7:$J$16,0),"")</f>
        <v>1</v>
      </c>
      <c r="M8" s="699" t="str">
        <f>'Market '!B10</f>
        <v>Netflix, Inc.</v>
      </c>
      <c r="N8" s="699" t="str">
        <f>'Market '!C10</f>
        <v>NasdaqGS:NFLX</v>
      </c>
      <c r="O8" s="768">
        <f>'Market '!F10</f>
        <v>9.5090843021556015E-2</v>
      </c>
      <c r="P8" s="699">
        <f>IFERROR(RANK(O8,$O$7:$O$16,0),"")</f>
        <v>5</v>
      </c>
      <c r="S8" s="699" t="str">
        <f>'Market '!B10</f>
        <v>Netflix, Inc.</v>
      </c>
      <c r="T8" s="699" t="str">
        <f>'Market '!C10</f>
        <v>NasdaqGS:NFLX</v>
      </c>
      <c r="U8" s="776">
        <f>'Market '!G10</f>
        <v>29.660789999999999</v>
      </c>
      <c r="V8" s="699">
        <f>IFERROR(RANK(U8,$U$7:$U$16,0),"0")</f>
        <v>3</v>
      </c>
    </row>
    <row r="9" spans="2:22" s="699" customFormat="1" ht="12">
      <c r="B9" s="699" t="str">
        <f>'Market '!B11</f>
        <v>Spotify Technology S.A.</v>
      </c>
      <c r="C9" s="699" t="str">
        <f>'Market '!C11</f>
        <v/>
      </c>
      <c r="D9" s="765">
        <f>'Market '!D11</f>
        <v>119674.87065</v>
      </c>
      <c r="E9" s="699">
        <f ca="1">IFERROR(RANK(D9,$D$7:$D$16,0),"")</f>
        <v>3</v>
      </c>
      <c r="H9" s="699" t="str">
        <f>'Market '!B11</f>
        <v>Spotify Technology S.A.</v>
      </c>
      <c r="I9" s="699" t="str">
        <f>'Market '!C11</f>
        <v/>
      </c>
      <c r="J9" s="768">
        <f>'Market '!E11</f>
        <v>0.12789400000000001</v>
      </c>
      <c r="K9" s="699">
        <f>IFERROR(RANK(J9,$J$7:$J$16,0),"")</f>
        <v>4</v>
      </c>
      <c r="M9" s="699" t="str">
        <f>'Market '!B11</f>
        <v>Spotify Technology S.A.</v>
      </c>
      <c r="N9" s="699" t="str">
        <f>'Market '!C11</f>
        <v/>
      </c>
      <c r="O9" s="768">
        <f>'Market '!F11</f>
        <v>0.13851860760505286</v>
      </c>
      <c r="P9" s="699">
        <f>IFERROR(RANK(O9,$O$7:$O$16,0),"")</f>
        <v>3</v>
      </c>
      <c r="S9" s="699" t="str">
        <f>'Market '!B11</f>
        <v>Spotify Technology S.A.</v>
      </c>
      <c r="T9" s="699" t="str">
        <f>'Market '!C11</f>
        <v/>
      </c>
      <c r="U9" s="776">
        <f>'Market '!G11</f>
        <v>46.520620000000001</v>
      </c>
      <c r="V9" s="699">
        <f>IFERROR(RANK(U9,$U$7:$U$16,0),"0")</f>
        <v>2</v>
      </c>
    </row>
    <row r="10" spans="2:22" s="699" customFormat="1" ht="12">
      <c r="B10" s="699" t="str">
        <f>'Market '!B12</f>
        <v>Roku, Inc.</v>
      </c>
      <c r="C10" s="699" t="str">
        <f>'Market '!C12</f>
        <v>NasdaqGS:ROKU</v>
      </c>
      <c r="D10" s="765">
        <f>'Market '!D12</f>
        <v>16029.58964</v>
      </c>
      <c r="E10" s="699">
        <f ca="1">IFERROR(RANK(D10,$D$7:$D$16,0),"")</f>
        <v>6</v>
      </c>
      <c r="H10" s="699" t="str">
        <f>'Market '!B12</f>
        <v>Roku, Inc.</v>
      </c>
      <c r="I10" s="699" t="str">
        <f>'Market '!C12</f>
        <v>NasdaqGS:ROKU</v>
      </c>
      <c r="J10" s="768">
        <f>'Market '!E12</f>
        <v>-5.3999999999999998E-5</v>
      </c>
      <c r="K10" s="699">
        <f>IFERROR(RANK(J10,$J$7:$J$16,0),"")</f>
        <v>9</v>
      </c>
      <c r="M10" s="699" t="str">
        <f>'Market '!B12</f>
        <v>Roku, Inc.</v>
      </c>
      <c r="N10" s="699" t="str">
        <f>'Market '!C12</f>
        <v>NasdaqGS:ROKU</v>
      </c>
      <c r="O10" s="768">
        <f>'Market '!F12</f>
        <v>0.14157920648083655</v>
      </c>
      <c r="P10" s="699">
        <f>IFERROR(RANK(O10,$O$7:$O$16,0),"")</f>
        <v>2</v>
      </c>
      <c r="S10" s="699" t="str">
        <f>'Market '!B12</f>
        <v>Roku, Inc.</v>
      </c>
      <c r="T10" s="699" t="str">
        <f>'Market '!C12</f>
        <v>NasdaqGS:ROKU</v>
      </c>
      <c r="U10" s="776">
        <f>'Market '!G12</f>
        <v>57.012140000000002</v>
      </c>
      <c r="V10" s="699">
        <f>IFERROR(RANK(U10,$U$7:$U$16,0),"0")</f>
        <v>1</v>
      </c>
    </row>
    <row r="11" spans="2:22" s="699" customFormat="1" ht="12">
      <c r="B11" s="699" t="str">
        <f>'Market '!B13</f>
        <v>Iqiyi, Inc.</v>
      </c>
      <c r="C11" s="699" t="str">
        <f>'Market '!C13</f>
        <v>NasdaqGS:IQ</v>
      </c>
      <c r="D11" s="765">
        <f>'Market '!D13</f>
        <v>1848.8809900000001</v>
      </c>
      <c r="E11" s="699">
        <f ca="1">IFERROR(RANK(D11,$D$7:$D$16,0),"")</f>
        <v>9</v>
      </c>
      <c r="H11" s="699" t="str">
        <f>'Market '!B13</f>
        <v>Iqiyi, Inc.</v>
      </c>
      <c r="I11" s="699" t="str">
        <f>'Market '!C13</f>
        <v>NasdaqGS:IQ</v>
      </c>
      <c r="J11" s="768">
        <f>'Market '!E13</f>
        <v>8.4019999999999997E-3</v>
      </c>
      <c r="K11" s="699">
        <f>IFERROR(RANK(J11,$J$7:$J$16,0),"")</f>
        <v>8</v>
      </c>
      <c r="M11" s="699" t="str">
        <f>'Market '!B13</f>
        <v>Iqiyi, Inc.</v>
      </c>
      <c r="N11" s="699" t="str">
        <f>'Market '!C13</f>
        <v>NasdaqGS:IQ</v>
      </c>
      <c r="O11" s="768">
        <f>'Market '!F13</f>
        <v>-5.9290149007727444E-2</v>
      </c>
      <c r="P11" s="699">
        <f>IFERROR(RANK(O11,$O$7:$O$16,0),"")</f>
        <v>9</v>
      </c>
      <c r="S11" s="699" t="str">
        <f>'Market '!B13</f>
        <v>Iqiyi, Inc.</v>
      </c>
      <c r="T11" s="699" t="str">
        <f>'Market '!C13</f>
        <v>NasdaqGS:IQ</v>
      </c>
      <c r="U11" s="776">
        <f>'Market '!G13</f>
        <v>2.7371799999999999</v>
      </c>
      <c r="V11" s="699">
        <f>IFERROR(RANK(U11,$U$7:$U$16,0),"0")</f>
        <v>9</v>
      </c>
    </row>
    <row r="12" spans="2:22" s="699" customFormat="1" ht="12">
      <c r="B12" s="699" t="str">
        <f>'Market '!B14</f>
        <v>Bilibili Inc.</v>
      </c>
      <c r="C12" s="699" t="str">
        <f>'Market '!C14</f>
        <v>NasdaqGS:BILI</v>
      </c>
      <c r="D12" s="765">
        <f>'Market '!D14</f>
        <v>10174.466570000001</v>
      </c>
      <c r="E12" s="699">
        <f ca="1">IFERROR(RANK(D12,$D$7:$D$16,0),"")</f>
        <v>8</v>
      </c>
      <c r="H12" s="699" t="str">
        <f>'Market '!B14</f>
        <v>Bilibili Inc.</v>
      </c>
      <c r="I12" s="699" t="str">
        <f>'Market '!C14</f>
        <v>NasdaqGS:BILI</v>
      </c>
      <c r="J12" s="768">
        <f>'Market '!E14</f>
        <v>3.7052000000000002E-2</v>
      </c>
      <c r="K12" s="699">
        <f>IFERROR(RANK(J12,$J$7:$J$16,0),"")</f>
        <v>7</v>
      </c>
      <c r="M12" s="699" t="str">
        <f>'Market '!B14</f>
        <v>Bilibili Inc.</v>
      </c>
      <c r="N12" s="699" t="str">
        <f>'Market '!C14</f>
        <v>NasdaqGS:BILI</v>
      </c>
      <c r="O12" s="768">
        <f>'Market '!F14</f>
        <v>6.4054184426631799E-2</v>
      </c>
      <c r="P12" s="699">
        <f>IFERROR(RANK(O12,$O$7:$O$16,0),"")</f>
        <v>6</v>
      </c>
      <c r="S12" s="699" t="str">
        <f>'Market '!B14</f>
        <v>Bilibili Inc.</v>
      </c>
      <c r="T12" s="699" t="str">
        <f>'Market '!C14</f>
        <v>NasdaqGS:BILI</v>
      </c>
      <c r="U12" s="776">
        <f>'Market '!G14</f>
        <v>19.779119999999999</v>
      </c>
      <c r="V12" s="699">
        <f>IFERROR(RANK(U12,$U$7:$U$16,0),"0")</f>
        <v>4</v>
      </c>
    </row>
    <row r="13" spans="2:22" s="699" customFormat="1" ht="12">
      <c r="B13" s="699" t="str">
        <f>'Market '!B15</f>
        <v>The Walt Disney Company</v>
      </c>
      <c r="C13" s="699" t="str">
        <f>'Market '!C15</f>
        <v>NYSE:DIS</v>
      </c>
      <c r="D13" s="765">
        <f>'Market '!D15</f>
        <v>203112.31200999999</v>
      </c>
      <c r="E13" s="699">
        <f ca="1">IFERROR(RANK(D13,$D$7:$D$16,0),"")</f>
        <v>2</v>
      </c>
      <c r="H13" s="699" t="str">
        <f>'Market '!B15</f>
        <v>The Walt Disney Company</v>
      </c>
      <c r="I13" s="699" t="str">
        <f>'Market '!C15</f>
        <v>NYSE:DIS</v>
      </c>
      <c r="J13" s="768">
        <f>'Market '!E15</f>
        <v>0.14924999999999999</v>
      </c>
      <c r="K13" s="699">
        <f>IFERROR(RANK(J13,$J$7:$J$16,0),"")</f>
        <v>3</v>
      </c>
      <c r="M13" s="699" t="str">
        <f>'Market '!B15</f>
        <v>The Walt Disney Company</v>
      </c>
      <c r="N13" s="699" t="str">
        <f>'Market '!C15</f>
        <v>NYSE:DIS</v>
      </c>
      <c r="O13" s="768">
        <f>'Market '!F15</f>
        <v>0.10661102641410714</v>
      </c>
      <c r="P13" s="699">
        <f>IFERROR(RANK(O13,$O$7:$O$16,0),"")</f>
        <v>4</v>
      </c>
      <c r="S13" s="699" t="str">
        <f>'Market '!B15</f>
        <v>The Walt Disney Company</v>
      </c>
      <c r="T13" s="699" t="str">
        <f>'Market '!C15</f>
        <v>NYSE:DIS</v>
      </c>
      <c r="U13" s="776">
        <f>'Market '!G15</f>
        <v>11.781829999999999</v>
      </c>
      <c r="V13" s="699">
        <f>IFERROR(RANK(U13,$U$7:$U$16,0),"0")</f>
        <v>6</v>
      </c>
    </row>
    <row r="14" spans="2:22" s="699" customFormat="1" ht="12">
      <c r="B14" s="699" t="str">
        <f>'Market '!B16</f>
        <v>Warner Bros. Discovery, Inc.</v>
      </c>
      <c r="C14" s="699" t="str">
        <f>'Market '!C16</f>
        <v>NasdaqGS:WBD</v>
      </c>
      <c r="D14" s="765">
        <f>'Market '!D16</f>
        <v>71458.806349999999</v>
      </c>
      <c r="E14" s="699">
        <f ca="1">IFERROR(RANK(D14,$D$7:$D$16,0),"")</f>
        <v>5</v>
      </c>
      <c r="H14" s="699" t="str">
        <f>'Market '!B16</f>
        <v>Warner Bros. Discovery, Inc.</v>
      </c>
      <c r="I14" s="699" t="str">
        <f>'Market '!C16</f>
        <v>NasdaqGS:WBD</v>
      </c>
      <c r="J14" s="768">
        <f>'Market '!E16</f>
        <v>4.4991000000000003E-2</v>
      </c>
      <c r="K14" s="699">
        <f>IFERROR(RANK(J14,$J$7:$J$16,0),"")</f>
        <v>6</v>
      </c>
      <c r="M14" s="699" t="str">
        <f>'Market '!B16</f>
        <v>Warner Bros. Discovery, Inc.</v>
      </c>
      <c r="N14" s="699" t="str">
        <f>'Market '!C16</f>
        <v>NasdaqGS:WBD</v>
      </c>
      <c r="O14" s="768">
        <f>'Market '!F16</f>
        <v>0.47750312335367018</v>
      </c>
      <c r="P14" s="699">
        <f>IFERROR(RANK(O14,$O$7:$O$16,0),"")</f>
        <v>1</v>
      </c>
      <c r="S14" s="699" t="str">
        <f>'Market '!B16</f>
        <v>Warner Bros. Discovery, Inc.</v>
      </c>
      <c r="T14" s="699" t="str">
        <f>'Market '!C16</f>
        <v>NasdaqGS:WBD</v>
      </c>
      <c r="U14" s="776">
        <f>'Market '!G16</f>
        <v>12.459160000000001</v>
      </c>
      <c r="V14" s="699">
        <f>IFERROR(RANK(U14,$U$7:$U$16,0),"0")</f>
        <v>5</v>
      </c>
    </row>
    <row r="15" spans="2:22" s="699" customFormat="1" ht="12">
      <c r="B15" s="699" t="str">
        <f>'Market '!B17</f>
        <v>Paramount Skydance Corporation</v>
      </c>
      <c r="C15" s="699" t="str">
        <f>'Market '!C17</f>
        <v>NasdaqGS:PSKY</v>
      </c>
      <c r="D15" s="765">
        <f>'Market '!D17</f>
        <v>14706.50117</v>
      </c>
      <c r="E15" s="699">
        <f ca="1">IFERROR(RANK(D15,$D$7:$D$16,0),"")</f>
        <v>7</v>
      </c>
      <c r="H15" s="699" t="str">
        <f>'Market '!B17</f>
        <v>Paramount Skydance Corporation</v>
      </c>
      <c r="I15" s="699" t="str">
        <f>'Market '!C17</f>
        <v>NasdaqGS:PSKY</v>
      </c>
      <c r="J15" s="768">
        <f>'Market '!E17</f>
        <v>6.5313999999999997E-2</v>
      </c>
      <c r="K15" s="699">
        <f>IFERROR(RANK(J15,$J$7:$J$16,0),"")</f>
        <v>5</v>
      </c>
      <c r="M15" s="699" t="str">
        <f>'Market '!B17</f>
        <v>Paramount Skydance Corporation</v>
      </c>
      <c r="N15" s="699" t="str">
        <f>'Market '!C17</f>
        <v>NasdaqGS:PSKY</v>
      </c>
      <c r="O15" s="768">
        <f>'Market '!F17</f>
        <v>7.258458559833203E-3</v>
      </c>
      <c r="P15" s="699">
        <f>IFERROR(RANK(O15,$O$7:$O$16,0),"")</f>
        <v>8</v>
      </c>
      <c r="S15" s="699" t="str">
        <f>'Market '!B17</f>
        <v>Paramount Skydance Corporation</v>
      </c>
      <c r="T15" s="699" t="str">
        <f>'Market '!C17</f>
        <v>NasdaqGS:PSKY</v>
      </c>
      <c r="U15" s="776">
        <f>'Market '!G17</f>
        <v>11.41535</v>
      </c>
      <c r="V15" s="699">
        <f>IFERROR(RANK(U15,$U$7:$U$16,0),"0")</f>
        <v>7</v>
      </c>
    </row>
    <row r="16" spans="2:22" s="699" customFormat="1" ht="12">
      <c r="B16" s="699" t="str">
        <f>'Market '!B18</f>
        <v>Comcast Corporation</v>
      </c>
      <c r="C16" s="699" t="str">
        <f>'Market '!C18</f>
        <v>NasdaqGS:CMCSA</v>
      </c>
      <c r="D16" s="765">
        <f>'Market '!D18</f>
        <v>108916.00675</v>
      </c>
      <c r="E16" s="699">
        <f ca="1">IFERROR(RANK(D16,$D$7:$D$16,0),"")</f>
        <v>4</v>
      </c>
      <c r="H16" s="699" t="str">
        <f>'Market '!B18</f>
        <v>Comcast Corporation</v>
      </c>
      <c r="I16" s="699" t="str">
        <f>'Market '!C18</f>
        <v>NasdaqGS:CMCSA</v>
      </c>
      <c r="J16" s="768">
        <f>'Market '!E18</f>
        <v>0.16708799999999999</v>
      </c>
      <c r="K16" s="699">
        <f>IFERROR(RANK(J16,$J$7:$J$16,0),"")</f>
        <v>2</v>
      </c>
      <c r="M16" s="699" t="str">
        <f>'Market '!B18</f>
        <v>Comcast Corporation</v>
      </c>
      <c r="N16" s="699" t="str">
        <f>'Market '!C18</f>
        <v>NasdaqGS:CMCSA</v>
      </c>
      <c r="O16" s="768">
        <f>'Market '!F18</f>
        <v>2.0611609169991274E-2</v>
      </c>
      <c r="P16" s="699">
        <f>IFERROR(RANK(O16,$O$7:$O$16,0),"")</f>
        <v>7</v>
      </c>
      <c r="S16" s="699" t="str">
        <f>'Market '!B18</f>
        <v>Comcast Corporation</v>
      </c>
      <c r="T16" s="699" t="str">
        <f>'Market '!C18</f>
        <v>NasdaqGS:CMCSA</v>
      </c>
      <c r="U16" s="776">
        <f>'Market '!G18</f>
        <v>5.1501799999999998</v>
      </c>
      <c r="V16" s="699">
        <f>IFERROR(RANK(U16,$U$7:$U$16,0),"0")</f>
        <v>8</v>
      </c>
    </row>
    <row r="17" spans="2:22" s="699" customFormat="1" ht="12">
      <c r="B17" s="700" t="s">
        <v>190</v>
      </c>
      <c r="C17" s="700"/>
      <c r="D17" s="770">
        <f ca="1">AVERAGE(D7:D16)</f>
        <v>94321.287048999991</v>
      </c>
      <c r="E17" s="700"/>
      <c r="H17" s="700" t="s">
        <v>190</v>
      </c>
      <c r="I17" s="700"/>
      <c r="J17" s="771">
        <f>AVERAGE(J7:J16)</f>
        <v>9.9431555555555551E-2</v>
      </c>
      <c r="K17" s="700"/>
      <c r="M17" s="700" t="s">
        <v>190</v>
      </c>
      <c r="N17" s="700"/>
      <c r="O17" s="771">
        <f>AVERAGE(O7:O16)</f>
        <v>0.11021521222488351</v>
      </c>
      <c r="P17" s="700"/>
      <c r="S17" s="700" t="s">
        <v>190</v>
      </c>
      <c r="T17" s="700"/>
      <c r="U17" s="786">
        <f>AVERAGE(U7:U16)</f>
        <v>19.651637000000001</v>
      </c>
      <c r="V17" s="700"/>
    </row>
    <row r="18" spans="2:22" s="699" customFormat="1" ht="12">
      <c r="B18" s="700" t="s">
        <v>117</v>
      </c>
      <c r="C18" s="700"/>
      <c r="D18" s="770">
        <f ca="1">MEDIAN(D7:D16)</f>
        <v>43744.197995000002</v>
      </c>
      <c r="E18" s="700"/>
      <c r="H18" s="700" t="s">
        <v>117</v>
      </c>
      <c r="I18" s="700"/>
      <c r="J18" s="771">
        <f>MEDIAN(J7:J16)</f>
        <v>6.5313999999999997E-2</v>
      </c>
      <c r="K18" s="700"/>
      <c r="M18" s="700" t="s">
        <v>117</v>
      </c>
      <c r="N18" s="700"/>
      <c r="O18" s="771">
        <f>MEDIAN(O7:O16)</f>
        <v>9.5090843021556015E-2</v>
      </c>
      <c r="P18" s="700"/>
      <c r="S18" s="700" t="s">
        <v>117</v>
      </c>
      <c r="T18" s="700"/>
      <c r="U18" s="786">
        <f>MEDIAN(U7:U16)</f>
        <v>12.120495</v>
      </c>
      <c r="V18" s="700"/>
    </row>
    <row r="21" spans="2:22" ht="32.5" customHeight="1"/>
    <row r="75" ht="26.5" customHeight="1"/>
  </sheetData>
  <autoFilter ref="S6:V6" xr:uid="{E8B1B3BD-69DA-4196-8E1B-85F3C97C0EC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2E1B1-20EB-49E4-A761-674897B5844C}">
  <sheetPr>
    <tabColor rgb="FF0A1F8F"/>
  </sheetPr>
  <dimension ref="A1"/>
  <sheetViews>
    <sheetView workbookViewId="0">
      <selection activeCell="F9" sqref="F9"/>
    </sheetView>
  </sheetViews>
  <sheetFormatPr defaultRowHeight="10"/>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rgb="FF00B0F0"/>
  </sheetPr>
  <dimension ref="A1:Q37"/>
  <sheetViews>
    <sheetView showGridLines="0" zoomScale="90" zoomScaleNormal="90" workbookViewId="0">
      <selection activeCell="V31" sqref="V31"/>
    </sheetView>
  </sheetViews>
  <sheetFormatPr defaultColWidth="9.109375" defaultRowHeight="11.25" customHeight="1" outlineLevelRow="1"/>
  <cols>
    <col min="1" max="1" width="15.6640625" style="62" customWidth="1"/>
    <col min="2" max="2" width="5.44140625" style="62" bestFit="1" customWidth="1"/>
    <col min="3" max="3" width="0.109375" style="62" customWidth="1"/>
    <col min="4" max="4" width="22.33203125" style="62" bestFit="1" customWidth="1"/>
    <col min="5" max="5" width="23.6640625" style="62" customWidth="1"/>
    <col min="6" max="6" width="27.44140625" style="62" customWidth="1"/>
    <col min="7" max="7" width="3.6640625" style="62" customWidth="1"/>
    <col min="8" max="9" width="9.109375" style="62"/>
    <col min="10" max="10" width="14.6640625" style="62" bestFit="1" customWidth="1"/>
    <col min="11" max="11" width="16.109375" style="62" bestFit="1" customWidth="1"/>
    <col min="12" max="12" width="9.33203125" style="62" bestFit="1" customWidth="1"/>
    <col min="13" max="13" width="9.109375" style="62"/>
    <col min="14" max="14" width="12" style="62" bestFit="1" customWidth="1"/>
    <col min="15" max="15" width="13.6640625" style="62" bestFit="1" customWidth="1"/>
    <col min="16" max="16" width="15" style="62" bestFit="1" customWidth="1"/>
    <col min="17" max="16384" width="9.109375" style="62"/>
  </cols>
  <sheetData>
    <row r="1" spans="1:17" ht="11.25" customHeight="1">
      <c r="A1" s="653" t="s">
        <v>162</v>
      </c>
      <c r="B1" s="66" t="s">
        <v>24</v>
      </c>
      <c r="C1" s="360"/>
      <c r="D1" s="360"/>
    </row>
    <row r="2" spans="1:17" ht="11.25" customHeight="1">
      <c r="A2" s="653" t="s">
        <v>163</v>
      </c>
      <c r="B2" s="66" t="s">
        <v>552</v>
      </c>
      <c r="C2" s="360"/>
      <c r="D2" s="360"/>
    </row>
    <row r="3" spans="1:17" ht="13">
      <c r="A3" s="691" t="s">
        <v>164</v>
      </c>
      <c r="B3" s="69" t="s">
        <v>550</v>
      </c>
      <c r="C3" s="360"/>
      <c r="D3" s="360"/>
    </row>
    <row r="4" spans="1:17" s="74" customFormat="1" ht="11.25" customHeight="1">
      <c r="A4" s="72"/>
      <c r="B4" s="72"/>
      <c r="C4" s="72"/>
      <c r="D4" s="72"/>
      <c r="E4" s="72"/>
      <c r="F4" s="73"/>
    </row>
    <row r="5" spans="1:17" ht="11.25" customHeight="1">
      <c r="A5" s="863" t="s">
        <v>551</v>
      </c>
      <c r="B5" s="863"/>
      <c r="C5" s="863"/>
      <c r="D5" s="863"/>
      <c r="E5" s="863"/>
      <c r="F5" s="863"/>
    </row>
    <row r="6" spans="1:17" ht="11.25" customHeight="1">
      <c r="A6" s="864" t="s">
        <v>167</v>
      </c>
      <c r="B6" s="864"/>
      <c r="C6" s="864"/>
      <c r="D6" s="864"/>
      <c r="E6" s="864"/>
      <c r="F6" s="864"/>
      <c r="L6" s="416"/>
      <c r="M6" s="417"/>
    </row>
    <row r="7" spans="1:17" ht="23.15" customHeight="1">
      <c r="A7" s="865" t="s">
        <v>168</v>
      </c>
      <c r="B7" s="865"/>
      <c r="C7" s="358"/>
      <c r="D7" s="358" t="s">
        <v>169</v>
      </c>
      <c r="E7" s="358" t="s">
        <v>170</v>
      </c>
      <c r="F7" s="358" t="s">
        <v>171</v>
      </c>
    </row>
    <row r="8" spans="1:17" ht="10.5">
      <c r="A8" s="359"/>
      <c r="B8" s="359"/>
      <c r="C8" s="359"/>
      <c r="D8" s="358" t="s">
        <v>172</v>
      </c>
      <c r="E8" s="358" t="s">
        <v>172</v>
      </c>
      <c r="F8" s="358" t="s">
        <v>173</v>
      </c>
    </row>
    <row r="9" spans="1:17" ht="11.25" customHeight="1">
      <c r="A9" s="360" t="s">
        <v>174</v>
      </c>
      <c r="B9" s="360"/>
      <c r="C9" s="361"/>
      <c r="D9" s="362">
        <v>2688.8890000000001</v>
      </c>
      <c r="E9" s="362">
        <v>13100.225</v>
      </c>
      <c r="F9" s="363">
        <v>8.0000000000000002E-3</v>
      </c>
      <c r="J9" s="62" t="s">
        <v>175</v>
      </c>
      <c r="K9" s="62" t="s">
        <v>176</v>
      </c>
      <c r="L9" s="62" t="s">
        <v>177</v>
      </c>
      <c r="O9" s="62" t="s">
        <v>175</v>
      </c>
      <c r="P9" s="62" t="s">
        <v>176</v>
      </c>
      <c r="Q9" s="62" t="s">
        <v>177</v>
      </c>
    </row>
    <row r="10" spans="1:17" ht="11.25" customHeight="1">
      <c r="A10" s="360" t="s">
        <v>178</v>
      </c>
      <c r="B10" s="360"/>
      <c r="C10" s="361"/>
      <c r="D10" s="362">
        <v>515.62099999999998</v>
      </c>
      <c r="E10" s="362">
        <v>2685.8649999999998</v>
      </c>
      <c r="F10" s="363">
        <v>1.4200000000000001E-2</v>
      </c>
    </row>
    <row r="11" spans="1:17" ht="11.25" customHeight="1">
      <c r="A11" s="364" t="s">
        <v>179</v>
      </c>
      <c r="B11" s="364"/>
      <c r="C11" s="365"/>
      <c r="D11" s="366">
        <v>1.9730000000000001</v>
      </c>
      <c r="E11" s="366">
        <v>515.60199999999998</v>
      </c>
      <c r="F11" s="367">
        <v>3.1600000000000003E-2</v>
      </c>
      <c r="I11" s="75" t="s">
        <v>180</v>
      </c>
      <c r="J11" s="76">
        <f>D31</f>
        <v>1.9730000000000001</v>
      </c>
      <c r="K11" s="76">
        <f>J12</f>
        <v>62.612000000000002</v>
      </c>
      <c r="L11" s="77">
        <f>F31</f>
        <v>0.1091</v>
      </c>
      <c r="N11" s="75"/>
      <c r="O11" s="76"/>
      <c r="P11" s="76"/>
      <c r="Q11" s="77"/>
    </row>
    <row r="12" spans="1:17" ht="11.25" customHeight="1">
      <c r="A12" s="360"/>
      <c r="B12" s="360"/>
      <c r="C12" s="361"/>
      <c r="D12" s="362"/>
      <c r="E12" s="362"/>
      <c r="F12" s="368"/>
      <c r="I12" s="75" t="s">
        <v>181</v>
      </c>
      <c r="J12" s="76">
        <f>D30</f>
        <v>62.612000000000002</v>
      </c>
      <c r="K12" s="76">
        <f>E30</f>
        <v>120.178</v>
      </c>
      <c r="L12" s="77">
        <f>F30</f>
        <v>6.6199999999999995E-2</v>
      </c>
      <c r="N12" s="75"/>
      <c r="O12" s="76"/>
      <c r="P12" s="76"/>
      <c r="Q12" s="77"/>
    </row>
    <row r="13" spans="1:17" ht="11.25" customHeight="1">
      <c r="A13" s="364" t="s">
        <v>182</v>
      </c>
      <c r="B13" s="364"/>
      <c r="C13" s="365"/>
      <c r="D13" s="366"/>
      <c r="E13" s="366"/>
      <c r="F13" s="369"/>
      <c r="I13" s="75" t="s">
        <v>183</v>
      </c>
      <c r="J13" s="76">
        <f>D28</f>
        <v>120.51900000000001</v>
      </c>
      <c r="K13" s="76">
        <f>E28</f>
        <v>181.17</v>
      </c>
      <c r="L13" s="77">
        <f>F28</f>
        <v>4.4200000000000003E-2</v>
      </c>
      <c r="N13" s="75"/>
      <c r="O13" s="76"/>
      <c r="P13" s="76"/>
      <c r="Q13" s="77"/>
    </row>
    <row r="14" spans="1:17" ht="11.25" customHeight="1">
      <c r="A14" s="370" t="s">
        <v>184</v>
      </c>
      <c r="B14" s="370"/>
      <c r="C14" s="371"/>
      <c r="D14" s="362">
        <v>31090.379000000001</v>
      </c>
      <c r="E14" s="362">
        <v>1061355.0109999999</v>
      </c>
      <c r="F14" s="363">
        <v>-2.8E-3</v>
      </c>
      <c r="I14" s="75" t="s">
        <v>185</v>
      </c>
      <c r="J14" s="76">
        <f>D27</f>
        <v>181.40799999999999</v>
      </c>
      <c r="K14" s="76">
        <f>E27</f>
        <v>229.74799999999999</v>
      </c>
      <c r="L14" s="77">
        <f>F27</f>
        <v>2.69E-2</v>
      </c>
      <c r="N14" s="75" t="str">
        <f>A23</f>
        <v>10 - Smallest</v>
      </c>
      <c r="O14" s="76">
        <f t="shared" ref="O14:O23" si="0">VLOOKUP(N14,$A$14:$D$23,4,FALSE)</f>
        <v>1.9730000000000001</v>
      </c>
      <c r="P14" s="76">
        <f t="shared" ref="P14:P23" si="1">VLOOKUP(N14,$A$14:$E$23,5,FALSE)</f>
        <v>229.74799999999999</v>
      </c>
      <c r="Q14" s="77">
        <f t="shared" ref="Q14:Q23" si="2">VLOOKUP(N14,$A$14:$F$23,6,FALSE)</f>
        <v>4.99E-2</v>
      </c>
    </row>
    <row r="15" spans="1:17" ht="11.25" customHeight="1">
      <c r="A15" s="370">
        <v>2</v>
      </c>
      <c r="B15" s="370"/>
      <c r="C15" s="371"/>
      <c r="D15" s="362">
        <v>13142.606</v>
      </c>
      <c r="E15" s="362">
        <v>30542.936000000002</v>
      </c>
      <c r="F15" s="363">
        <v>5.0000000000000001E-3</v>
      </c>
      <c r="I15" s="62">
        <v>9</v>
      </c>
      <c r="J15" s="76">
        <f t="shared" ref="J15:J23" si="3">VLOOKUP(I15,$A$14:$D$23,4,FALSE)</f>
        <v>230.024</v>
      </c>
      <c r="K15" s="76">
        <f t="shared" ref="K15:K23" si="4">VLOOKUP(I15,$A$14:$E$23,5,FALSE)</f>
        <v>515.60199999999998</v>
      </c>
      <c r="L15" s="77">
        <f t="shared" ref="L15:L23" si="5">VLOOKUP(I15,$A$14:$F$23,6,FALSE)</f>
        <v>2.2200000000000001E-2</v>
      </c>
      <c r="N15" s="62">
        <v>9</v>
      </c>
      <c r="O15" s="76">
        <f t="shared" si="0"/>
        <v>230.024</v>
      </c>
      <c r="P15" s="76">
        <f t="shared" si="1"/>
        <v>515.60199999999998</v>
      </c>
      <c r="Q15" s="77">
        <f t="shared" si="2"/>
        <v>2.2200000000000001E-2</v>
      </c>
    </row>
    <row r="16" spans="1:17" ht="11.25" customHeight="1">
      <c r="A16" s="370">
        <v>3</v>
      </c>
      <c r="B16" s="370"/>
      <c r="C16" s="371"/>
      <c r="D16" s="362">
        <v>6618.6040000000003</v>
      </c>
      <c r="E16" s="362">
        <v>13100.225</v>
      </c>
      <c r="F16" s="363">
        <v>7.3000000000000001E-3</v>
      </c>
      <c r="I16" s="62">
        <v>8</v>
      </c>
      <c r="J16" s="76">
        <f t="shared" si="3"/>
        <v>515.62099999999998</v>
      </c>
      <c r="K16" s="76">
        <f t="shared" si="4"/>
        <v>993.84699999999998</v>
      </c>
      <c r="L16" s="77">
        <f t="shared" si="5"/>
        <v>1.5900000000000001E-2</v>
      </c>
      <c r="N16" s="62">
        <v>8</v>
      </c>
      <c r="O16" s="76">
        <f t="shared" si="0"/>
        <v>515.62099999999998</v>
      </c>
      <c r="P16" s="76">
        <f t="shared" si="1"/>
        <v>993.84699999999998</v>
      </c>
      <c r="Q16" s="77">
        <f t="shared" si="2"/>
        <v>1.5900000000000001E-2</v>
      </c>
    </row>
    <row r="17" spans="1:17" ht="11.25" customHeight="1">
      <c r="A17" s="370">
        <v>4</v>
      </c>
      <c r="B17" s="370"/>
      <c r="C17" s="371"/>
      <c r="D17" s="362">
        <v>4312.5460000000003</v>
      </c>
      <c r="E17" s="362">
        <v>6614.9620000000004</v>
      </c>
      <c r="F17" s="363">
        <v>7.9000000000000008E-3</v>
      </c>
      <c r="I17" s="62">
        <v>7</v>
      </c>
      <c r="J17" s="76">
        <f t="shared" si="3"/>
        <v>993.85500000000002</v>
      </c>
      <c r="K17" s="76">
        <f t="shared" si="4"/>
        <v>1668.2819999999999</v>
      </c>
      <c r="L17" s="77">
        <f t="shared" si="5"/>
        <v>1.47E-2</v>
      </c>
      <c r="N17" s="62">
        <v>7</v>
      </c>
      <c r="O17" s="76">
        <f t="shared" si="0"/>
        <v>993.85500000000002</v>
      </c>
      <c r="P17" s="76">
        <f t="shared" si="1"/>
        <v>1668.2819999999999</v>
      </c>
      <c r="Q17" s="77">
        <f t="shared" si="2"/>
        <v>1.47E-2</v>
      </c>
    </row>
    <row r="18" spans="1:17" ht="11.25" customHeight="1">
      <c r="A18" s="370">
        <v>5</v>
      </c>
      <c r="B18" s="370"/>
      <c r="C18" s="371"/>
      <c r="D18" s="362">
        <v>2688.8890000000001</v>
      </c>
      <c r="E18" s="362">
        <v>4311.2520000000004</v>
      </c>
      <c r="F18" s="363">
        <v>1.0999999999999999E-2</v>
      </c>
      <c r="I18" s="62">
        <v>6</v>
      </c>
      <c r="J18" s="76">
        <f t="shared" si="3"/>
        <v>1669.856</v>
      </c>
      <c r="K18" s="76">
        <f t="shared" si="4"/>
        <v>2685.8649999999998</v>
      </c>
      <c r="L18" s="77">
        <f t="shared" si="5"/>
        <v>1.34E-2</v>
      </c>
      <c r="N18" s="62">
        <v>6</v>
      </c>
      <c r="O18" s="76">
        <f t="shared" si="0"/>
        <v>1669.856</v>
      </c>
      <c r="P18" s="76">
        <f t="shared" si="1"/>
        <v>2685.8649999999998</v>
      </c>
      <c r="Q18" s="77">
        <f t="shared" si="2"/>
        <v>1.34E-2</v>
      </c>
    </row>
    <row r="19" spans="1:17" ht="11.25" customHeight="1">
      <c r="A19" s="370">
        <v>6</v>
      </c>
      <c r="B19" s="370"/>
      <c r="C19" s="371"/>
      <c r="D19" s="362">
        <v>1669.856</v>
      </c>
      <c r="E19" s="362">
        <v>2685.8649999999998</v>
      </c>
      <c r="F19" s="363">
        <v>1.34E-2</v>
      </c>
      <c r="I19" s="62">
        <v>5</v>
      </c>
      <c r="J19" s="76">
        <f t="shared" si="3"/>
        <v>2688.8890000000001</v>
      </c>
      <c r="K19" s="76">
        <f t="shared" si="4"/>
        <v>4311.2520000000004</v>
      </c>
      <c r="L19" s="77">
        <f t="shared" si="5"/>
        <v>1.0999999999999999E-2</v>
      </c>
      <c r="N19" s="62">
        <v>5</v>
      </c>
      <c r="O19" s="76">
        <f t="shared" si="0"/>
        <v>2688.8890000000001</v>
      </c>
      <c r="P19" s="76">
        <f t="shared" si="1"/>
        <v>4311.2520000000004</v>
      </c>
      <c r="Q19" s="77">
        <f t="shared" si="2"/>
        <v>1.0999999999999999E-2</v>
      </c>
    </row>
    <row r="20" spans="1:17" ht="11.25" customHeight="1">
      <c r="A20" s="370">
        <v>7</v>
      </c>
      <c r="B20" s="370"/>
      <c r="C20" s="371"/>
      <c r="D20" s="362">
        <v>993.85500000000002</v>
      </c>
      <c r="E20" s="362">
        <v>1668.2819999999999</v>
      </c>
      <c r="F20" s="363">
        <v>1.47E-2</v>
      </c>
      <c r="I20" s="62">
        <v>4</v>
      </c>
      <c r="J20" s="76">
        <f t="shared" si="3"/>
        <v>4312.5460000000003</v>
      </c>
      <c r="K20" s="76">
        <f t="shared" si="4"/>
        <v>6614.9620000000004</v>
      </c>
      <c r="L20" s="77">
        <f t="shared" si="5"/>
        <v>7.9000000000000008E-3</v>
      </c>
      <c r="N20" s="62">
        <v>4</v>
      </c>
      <c r="O20" s="76">
        <f t="shared" si="0"/>
        <v>4312.5460000000003</v>
      </c>
      <c r="P20" s="76">
        <f t="shared" si="1"/>
        <v>6614.9620000000004</v>
      </c>
      <c r="Q20" s="77">
        <f t="shared" si="2"/>
        <v>7.9000000000000008E-3</v>
      </c>
    </row>
    <row r="21" spans="1:17" ht="11.25" customHeight="1">
      <c r="A21" s="370">
        <v>8</v>
      </c>
      <c r="B21" s="370"/>
      <c r="C21" s="371"/>
      <c r="D21" s="362">
        <v>515.62099999999998</v>
      </c>
      <c r="E21" s="362">
        <v>993.84699999999998</v>
      </c>
      <c r="F21" s="363">
        <v>1.5900000000000001E-2</v>
      </c>
      <c r="I21" s="62">
        <v>3</v>
      </c>
      <c r="J21" s="76">
        <f t="shared" si="3"/>
        <v>6618.6040000000003</v>
      </c>
      <c r="K21" s="76">
        <f t="shared" si="4"/>
        <v>13100.225</v>
      </c>
      <c r="L21" s="77">
        <f t="shared" si="5"/>
        <v>7.3000000000000001E-3</v>
      </c>
      <c r="N21" s="62">
        <v>3</v>
      </c>
      <c r="O21" s="76">
        <f t="shared" si="0"/>
        <v>6618.6040000000003</v>
      </c>
      <c r="P21" s="76">
        <f t="shared" si="1"/>
        <v>13100.225</v>
      </c>
      <c r="Q21" s="77">
        <f t="shared" si="2"/>
        <v>7.3000000000000001E-3</v>
      </c>
    </row>
    <row r="22" spans="1:17" ht="11.25" customHeight="1">
      <c r="A22" s="370">
        <v>9</v>
      </c>
      <c r="B22" s="370"/>
      <c r="C22" s="371"/>
      <c r="D22" s="362">
        <v>230.024</v>
      </c>
      <c r="E22" s="362">
        <v>515.60199999999998</v>
      </c>
      <c r="F22" s="363">
        <v>2.2200000000000001E-2</v>
      </c>
      <c r="I22" s="62">
        <v>2</v>
      </c>
      <c r="J22" s="76">
        <f t="shared" si="3"/>
        <v>13142.606</v>
      </c>
      <c r="K22" s="76">
        <f t="shared" si="4"/>
        <v>30542.936000000002</v>
      </c>
      <c r="L22" s="77">
        <f t="shared" si="5"/>
        <v>5.0000000000000001E-3</v>
      </c>
      <c r="N22" s="62">
        <v>2</v>
      </c>
      <c r="O22" s="76">
        <f t="shared" si="0"/>
        <v>13142.606</v>
      </c>
      <c r="P22" s="76">
        <f t="shared" si="1"/>
        <v>30542.936000000002</v>
      </c>
      <c r="Q22" s="77">
        <f t="shared" si="2"/>
        <v>5.0000000000000001E-3</v>
      </c>
    </row>
    <row r="23" spans="1:17" ht="11.25" customHeight="1">
      <c r="A23" s="372" t="s">
        <v>186</v>
      </c>
      <c r="B23" s="372"/>
      <c r="C23" s="373"/>
      <c r="D23" s="366">
        <v>1.9730000000000001</v>
      </c>
      <c r="E23" s="366">
        <v>229.74799999999999</v>
      </c>
      <c r="F23" s="374">
        <v>4.99E-2</v>
      </c>
      <c r="I23" s="75" t="s">
        <v>184</v>
      </c>
      <c r="J23" s="76">
        <f t="shared" si="3"/>
        <v>31090.379000000001</v>
      </c>
      <c r="K23" s="76">
        <f t="shared" si="4"/>
        <v>1061355.0109999999</v>
      </c>
      <c r="L23" s="77">
        <f t="shared" si="5"/>
        <v>-2.8E-3</v>
      </c>
      <c r="N23" s="75" t="s">
        <v>184</v>
      </c>
      <c r="O23" s="76">
        <f t="shared" si="0"/>
        <v>31090.379000000001</v>
      </c>
      <c r="P23" s="76">
        <f t="shared" si="1"/>
        <v>1061355.0109999999</v>
      </c>
      <c r="Q23" s="77">
        <f t="shared" si="2"/>
        <v>-2.8E-3</v>
      </c>
    </row>
    <row r="24" spans="1:17" ht="11.25" customHeight="1" outlineLevel="1">
      <c r="A24" s="370"/>
      <c r="B24" s="370"/>
      <c r="C24" s="371"/>
      <c r="D24" s="362"/>
      <c r="E24" s="362"/>
      <c r="F24" s="363"/>
    </row>
    <row r="25" spans="1:17" ht="11.25" customHeight="1" outlineLevel="1">
      <c r="A25" s="372" t="s">
        <v>187</v>
      </c>
      <c r="B25" s="372"/>
      <c r="C25" s="373"/>
      <c r="D25" s="366"/>
      <c r="E25" s="366"/>
      <c r="F25" s="367"/>
      <c r="N25" s="62" t="str">
        <f>N23</f>
        <v>1 - Largest</v>
      </c>
      <c r="Q25" s="297">
        <f>Q23</f>
        <v>-2.8E-3</v>
      </c>
    </row>
    <row r="26" spans="1:17" ht="11.25" customHeight="1" outlineLevel="1">
      <c r="A26" s="360" t="s">
        <v>188</v>
      </c>
      <c r="B26" s="360"/>
      <c r="C26" s="360"/>
      <c r="D26" s="362">
        <v>120.51900000000001</v>
      </c>
      <c r="E26" s="362">
        <v>229.74799999999999</v>
      </c>
      <c r="F26" s="363">
        <v>3.49E-2</v>
      </c>
      <c r="G26" s="78"/>
      <c r="K26" s="298"/>
      <c r="N26" s="62">
        <f>N22</f>
        <v>2</v>
      </c>
      <c r="Q26" s="297">
        <f>Q22</f>
        <v>5.0000000000000001E-3</v>
      </c>
    </row>
    <row r="27" spans="1:17" ht="11.25" customHeight="1" outlineLevel="1">
      <c r="A27" s="360"/>
      <c r="B27" s="360" t="s">
        <v>185</v>
      </c>
      <c r="C27" s="360"/>
      <c r="D27" s="362">
        <v>181.40799999999999</v>
      </c>
      <c r="E27" s="362">
        <v>229.74799999999999</v>
      </c>
      <c r="F27" s="363">
        <v>2.69E-2</v>
      </c>
      <c r="K27" s="299"/>
      <c r="N27" s="62">
        <f>N21</f>
        <v>3</v>
      </c>
      <c r="Q27" s="297">
        <f>Q21</f>
        <v>7.3000000000000001E-3</v>
      </c>
    </row>
    <row r="28" spans="1:17" ht="11.25" customHeight="1" outlineLevel="1">
      <c r="A28" s="360"/>
      <c r="B28" s="360" t="s">
        <v>183</v>
      </c>
      <c r="C28" s="360"/>
      <c r="D28" s="362">
        <v>120.51900000000001</v>
      </c>
      <c r="E28" s="362">
        <v>181.17</v>
      </c>
      <c r="F28" s="363">
        <v>4.4200000000000003E-2</v>
      </c>
      <c r="J28" s="75"/>
      <c r="K28" s="77"/>
      <c r="N28" s="62">
        <f>N20</f>
        <v>4</v>
      </c>
      <c r="Q28" s="297">
        <f>Q20</f>
        <v>7.9000000000000008E-3</v>
      </c>
    </row>
    <row r="29" spans="1:17" ht="11.25" customHeight="1" outlineLevel="1">
      <c r="A29" s="360" t="s">
        <v>189</v>
      </c>
      <c r="B29" s="360"/>
      <c r="C29" s="360"/>
      <c r="D29" s="362">
        <v>1.9730000000000001</v>
      </c>
      <c r="E29" s="362">
        <v>120.178</v>
      </c>
      <c r="F29" s="363">
        <v>8.0199999999999994E-2</v>
      </c>
      <c r="J29" s="75"/>
      <c r="K29" s="77"/>
      <c r="N29" s="62">
        <f>N19</f>
        <v>5</v>
      </c>
      <c r="Q29" s="297">
        <f>Q19</f>
        <v>1.0999999999999999E-2</v>
      </c>
    </row>
    <row r="30" spans="1:17" ht="11.25" customHeight="1" outlineLevel="1">
      <c r="A30" s="360"/>
      <c r="B30" s="360" t="s">
        <v>181</v>
      </c>
      <c r="C30" s="360"/>
      <c r="D30" s="376">
        <v>62.612000000000002</v>
      </c>
      <c r="E30" s="376">
        <v>120.178</v>
      </c>
      <c r="F30" s="377">
        <v>6.6199999999999995E-2</v>
      </c>
      <c r="J30" s="75"/>
      <c r="K30" s="77"/>
      <c r="N30" s="62">
        <f>N18</f>
        <v>6</v>
      </c>
      <c r="Q30" s="297">
        <f>Q18</f>
        <v>1.34E-2</v>
      </c>
    </row>
    <row r="31" spans="1:17" ht="10.5" outlineLevel="1" thickBot="1">
      <c r="A31" s="379"/>
      <c r="B31" s="378" t="s">
        <v>180</v>
      </c>
      <c r="C31" s="379"/>
      <c r="D31" s="380">
        <v>1.9730000000000001</v>
      </c>
      <c r="E31" s="380">
        <v>62.198999999999998</v>
      </c>
      <c r="F31" s="381">
        <v>0.1091</v>
      </c>
      <c r="J31" s="75"/>
      <c r="K31" s="77"/>
      <c r="N31" s="62">
        <f>N17</f>
        <v>7</v>
      </c>
      <c r="Q31" s="297">
        <f>Q17</f>
        <v>1.47E-2</v>
      </c>
    </row>
    <row r="32" spans="1:17" ht="11.25" customHeight="1">
      <c r="A32" s="79"/>
      <c r="B32" s="79"/>
      <c r="C32" s="79"/>
      <c r="J32" s="75"/>
      <c r="K32" s="77"/>
      <c r="N32" s="62">
        <f>N16</f>
        <v>8</v>
      </c>
      <c r="Q32" s="297">
        <f>Q16</f>
        <v>1.5900000000000001E-2</v>
      </c>
    </row>
    <row r="33" spans="10:17" ht="11.25" customHeight="1">
      <c r="J33" s="75"/>
      <c r="K33" s="77"/>
      <c r="N33" s="62">
        <f>N15</f>
        <v>9</v>
      </c>
      <c r="Q33" s="297">
        <f>Q15</f>
        <v>2.2200000000000001E-2</v>
      </c>
    </row>
    <row r="34" spans="10:17" ht="11.25" customHeight="1">
      <c r="J34" s="75"/>
      <c r="K34" s="77"/>
      <c r="N34" s="62" t="str">
        <f>N14</f>
        <v>10 - Smallest</v>
      </c>
      <c r="Q34" s="297">
        <f>Q14</f>
        <v>4.99E-2</v>
      </c>
    </row>
    <row r="35" spans="10:17" ht="11.25" customHeight="1">
      <c r="J35" s="75"/>
      <c r="K35" s="77"/>
    </row>
    <row r="36" spans="10:17" ht="11.25" customHeight="1">
      <c r="J36" s="75"/>
      <c r="K36" s="77"/>
    </row>
    <row r="37" spans="10:17" ht="11.25" customHeight="1">
      <c r="J37" s="75"/>
      <c r="K37" s="77"/>
    </row>
  </sheetData>
  <mergeCells count="3">
    <mergeCell ref="A5:F5"/>
    <mergeCell ref="A6:F6"/>
    <mergeCell ref="A7:B7"/>
  </mergeCells>
  <pageMargins left="0.7" right="0.7" top="0.75" bottom="0.75" header="0.3" footer="0.3"/>
  <pageSetup orientation="portrait" horizontalDpi="90" verticalDpi="90" r:id="rId1"/>
  <ignoredErrors>
    <ignoredError sqref="K11" formula="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FE342-5FBB-4F2E-A9D9-98C525FA7A68}">
  <sheetPr codeName="Sheet23">
    <tabColor rgb="FF00B0F0"/>
  </sheetPr>
  <dimension ref="M7"/>
  <sheetViews>
    <sheetView workbookViewId="0">
      <selection activeCell="M7" sqref="M7"/>
    </sheetView>
  </sheetViews>
  <sheetFormatPr defaultRowHeight="10"/>
  <sheetData>
    <row r="7" spans="13:13">
      <c r="M7" s="62"/>
    </row>
  </sheetData>
  <pageMargins left="0.7" right="0.7" top="0.75" bottom="0.75" header="0.3" footer="0.3"/>
  <pageSetup orientation="portrait" horizontalDpi="90" verticalDpi="9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B0F0"/>
  </sheetPr>
  <dimension ref="B6:I33"/>
  <sheetViews>
    <sheetView showGridLines="0" zoomScale="70" zoomScaleNormal="70" workbookViewId="0">
      <selection activeCell="J24" sqref="J24"/>
    </sheetView>
  </sheetViews>
  <sheetFormatPr defaultColWidth="9.109375" defaultRowHeight="11.5"/>
  <cols>
    <col min="1" max="1" width="9.109375" style="63"/>
    <col min="2" max="2" width="34.109375" style="63" customWidth="1"/>
    <col min="3" max="3" width="15.33203125" style="63" bestFit="1" customWidth="1"/>
    <col min="4" max="4" width="23.44140625" style="63" customWidth="1"/>
    <col min="5" max="5" width="9.109375" style="63"/>
    <col min="6" max="6" width="36.33203125" style="63" bestFit="1" customWidth="1"/>
    <col min="7" max="7" width="11.6640625" style="63" customWidth="1"/>
    <col min="8" max="8" width="28.6640625" style="63" customWidth="1"/>
    <col min="9" max="16384" width="9.109375" style="63"/>
  </cols>
  <sheetData>
    <row r="6" spans="2:4">
      <c r="B6" s="664" t="s">
        <v>192</v>
      </c>
      <c r="C6" s="664"/>
      <c r="D6" s="664"/>
    </row>
    <row r="7" spans="2:4" ht="21">
      <c r="B7" s="382" t="s">
        <v>193</v>
      </c>
      <c r="C7" s="383" t="s">
        <v>194</v>
      </c>
      <c r="D7" s="384" t="s">
        <v>195</v>
      </c>
    </row>
    <row r="8" spans="2:4">
      <c r="B8" s="350" t="s">
        <v>196</v>
      </c>
      <c r="C8" s="349" t="s">
        <v>197</v>
      </c>
      <c r="D8" s="385">
        <v>0.13</v>
      </c>
    </row>
    <row r="9" spans="2:4">
      <c r="B9" s="350" t="s">
        <v>198</v>
      </c>
      <c r="C9" s="349" t="s">
        <v>199</v>
      </c>
      <c r="D9" s="385">
        <v>0.14599999999999999</v>
      </c>
    </row>
    <row r="10" spans="2:4">
      <c r="B10" s="350" t="s">
        <v>200</v>
      </c>
      <c r="C10" s="349" t="s">
        <v>201</v>
      </c>
      <c r="D10" s="385">
        <v>0.32800000000000001</v>
      </c>
    </row>
    <row r="11" spans="2:4">
      <c r="B11" s="350" t="s">
        <v>202</v>
      </c>
      <c r="C11" s="349" t="s">
        <v>203</v>
      </c>
      <c r="D11" s="385">
        <v>0.14599999999999999</v>
      </c>
    </row>
    <row r="12" spans="2:4">
      <c r="B12" s="350" t="s">
        <v>202</v>
      </c>
      <c r="C12" s="349" t="s">
        <v>204</v>
      </c>
      <c r="D12" s="385">
        <v>0.216</v>
      </c>
    </row>
    <row r="13" spans="2:4">
      <c r="B13" s="350" t="s">
        <v>205</v>
      </c>
      <c r="C13" s="349" t="s">
        <v>206</v>
      </c>
      <c r="D13" s="385">
        <v>0.18099999999999999</v>
      </c>
    </row>
    <row r="14" spans="2:4" ht="12" thickBot="1">
      <c r="B14" s="692" t="s">
        <v>117</v>
      </c>
      <c r="C14" s="694"/>
      <c r="D14" s="693">
        <f>MEDIAN(D8:D13)</f>
        <v>0.16349999999999998</v>
      </c>
    </row>
    <row r="15" spans="2:4">
      <c r="B15" s="675" t="s">
        <v>207</v>
      </c>
      <c r="C15" s="386"/>
      <c r="D15" s="386"/>
    </row>
    <row r="18" spans="6:9">
      <c r="G18" s="664" t="s">
        <v>209</v>
      </c>
      <c r="H18" s="664"/>
    </row>
    <row r="19" spans="6:9">
      <c r="G19" s="387" t="s">
        <v>53</v>
      </c>
      <c r="H19" s="383" t="s">
        <v>210</v>
      </c>
    </row>
    <row r="20" spans="6:9">
      <c r="G20" s="350">
        <v>2015</v>
      </c>
      <c r="H20" s="389">
        <v>0.34399999999999997</v>
      </c>
      <c r="I20" s="84"/>
    </row>
    <row r="21" spans="6:9">
      <c r="G21" s="350">
        <v>2016</v>
      </c>
      <c r="H21" s="389">
        <v>0.39300000000000002</v>
      </c>
      <c r="I21" s="84"/>
    </row>
    <row r="22" spans="6:9">
      <c r="G22" s="350">
        <v>2017</v>
      </c>
      <c r="H22" s="389">
        <v>0.26800000000000002</v>
      </c>
      <c r="I22" s="84"/>
    </row>
    <row r="23" spans="6:9">
      <c r="G23" s="350">
        <v>2018</v>
      </c>
      <c r="H23" s="389">
        <v>0.25800000000000001</v>
      </c>
      <c r="I23" s="84"/>
    </row>
    <row r="24" spans="6:9">
      <c r="G24" s="350">
        <v>2019</v>
      </c>
      <c r="H24" s="389">
        <v>0.29499999999999998</v>
      </c>
      <c r="I24" s="84"/>
    </row>
    <row r="25" spans="6:9">
      <c r="G25" s="388">
        <v>2020</v>
      </c>
      <c r="H25" s="389">
        <v>0.248</v>
      </c>
      <c r="I25" s="84"/>
    </row>
    <row r="26" spans="6:9">
      <c r="G26" s="388">
        <v>2021</v>
      </c>
      <c r="H26" s="389">
        <v>0.35399999999999998</v>
      </c>
      <c r="I26" s="84"/>
    </row>
    <row r="27" spans="6:9">
      <c r="G27" s="388">
        <v>2022</v>
      </c>
      <c r="H27" s="389">
        <v>0.39200000000000002</v>
      </c>
      <c r="I27" s="84"/>
    </row>
    <row r="28" spans="6:9">
      <c r="G28" s="388">
        <v>2023</v>
      </c>
      <c r="H28" s="389">
        <v>0.435</v>
      </c>
      <c r="I28" s="84"/>
    </row>
    <row r="29" spans="6:9" ht="12" thickBot="1">
      <c r="G29" s="692" t="s">
        <v>117</v>
      </c>
      <c r="H29" s="693">
        <f>MEDIAN(H20:H28)</f>
        <v>0.34399999999999997</v>
      </c>
    </row>
    <row r="30" spans="6:9">
      <c r="G30" s="677" t="s">
        <v>549</v>
      </c>
      <c r="H30" s="386"/>
    </row>
    <row r="31" spans="6:9">
      <c r="H31" s="64"/>
    </row>
    <row r="32" spans="6:9">
      <c r="F32" s="64"/>
      <c r="G32" s="67"/>
      <c r="H32" s="64"/>
    </row>
    <row r="33" spans="6:8">
      <c r="F33" s="64"/>
      <c r="G33" s="67"/>
      <c r="H33" s="64"/>
    </row>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A12D7-9DDF-4713-B3C1-EAB5AA9CB663}">
  <sheetPr codeName="Sheet29">
    <tabColor theme="5" tint="0.59999389629810485"/>
  </sheetPr>
  <dimension ref="A1:AB200"/>
  <sheetViews>
    <sheetView workbookViewId="0">
      <selection activeCell="B172" sqref="B172:E172"/>
    </sheetView>
  </sheetViews>
  <sheetFormatPr defaultRowHeight="10"/>
  <cols>
    <col min="1" max="1" width="22.6640625" customWidth="1"/>
    <col min="2" max="2" width="31.44140625" customWidth="1"/>
    <col min="3" max="10" width="15.6640625" customWidth="1"/>
    <col min="11" max="14" width="10.6640625" customWidth="1"/>
    <col min="15" max="18" width="12.6640625" customWidth="1"/>
    <col min="19" max="19" width="11.109375" customWidth="1"/>
    <col min="20" max="20" width="11.44140625" customWidth="1"/>
    <col min="22" max="24" width="13.109375" customWidth="1"/>
  </cols>
  <sheetData>
    <row r="1" spans="1:28" ht="10.5">
      <c r="A1" s="65">
        <v>200</v>
      </c>
      <c r="B1" s="66">
        <v>28</v>
      </c>
      <c r="C1" s="62"/>
      <c r="D1" s="62"/>
    </row>
    <row r="2" spans="1:28" ht="10.5">
      <c r="A2" s="65"/>
      <c r="B2" s="66"/>
      <c r="C2" s="62"/>
      <c r="D2" s="62"/>
    </row>
    <row r="3" spans="1:28" ht="10.5">
      <c r="A3" s="68"/>
      <c r="B3" s="66"/>
      <c r="C3" s="62"/>
      <c r="D3" s="62"/>
    </row>
    <row r="4" spans="1:28" ht="13">
      <c r="A4" s="68"/>
      <c r="B4" s="69"/>
      <c r="C4" s="62"/>
      <c r="D4" s="62"/>
      <c r="I4" s="179"/>
      <c r="J4" s="179"/>
    </row>
    <row r="6" spans="1:28" ht="10.5">
      <c r="A6" s="82"/>
      <c r="B6" s="82"/>
      <c r="C6" s="82"/>
      <c r="D6" s="82"/>
      <c r="E6" s="82"/>
      <c r="F6" s="82"/>
      <c r="G6" s="40"/>
      <c r="H6" s="40"/>
      <c r="I6" s="186"/>
      <c r="J6" s="187"/>
      <c r="R6" s="80"/>
      <c r="S6" s="81"/>
      <c r="U6" s="82"/>
      <c r="V6" s="82"/>
      <c r="W6" s="82"/>
      <c r="X6" s="82"/>
      <c r="Y6" s="82"/>
      <c r="Z6" s="82"/>
      <c r="AA6" s="82"/>
      <c r="AB6" s="82"/>
    </row>
    <row r="7" spans="1:28" ht="10.5">
      <c r="A7" s="866"/>
      <c r="B7" s="866"/>
      <c r="C7" s="866"/>
      <c r="D7" s="866"/>
      <c r="E7" s="866"/>
      <c r="F7" s="866"/>
      <c r="G7" s="99"/>
      <c r="H7" s="99"/>
      <c r="I7" s="186"/>
      <c r="J7" s="187"/>
      <c r="K7" s="99"/>
      <c r="L7" s="99"/>
      <c r="M7" s="99"/>
      <c r="N7" s="99"/>
      <c r="O7" s="99"/>
    </row>
    <row r="8" spans="1:28">
      <c r="B8" s="289"/>
      <c r="C8" s="64"/>
      <c r="D8" s="139"/>
      <c r="I8" s="186"/>
      <c r="J8" s="187"/>
    </row>
    <row r="9" spans="1:28">
      <c r="B9" s="289"/>
      <c r="C9" s="64"/>
      <c r="D9" s="139"/>
      <c r="I9" s="186"/>
      <c r="J9" s="187"/>
    </row>
    <row r="10" spans="1:28" ht="10.5">
      <c r="B10" s="289"/>
      <c r="C10" s="64"/>
      <c r="D10" s="139"/>
      <c r="E10" s="29"/>
      <c r="F10" s="29"/>
      <c r="G10" s="29"/>
      <c r="H10" s="29"/>
      <c r="I10" s="186"/>
      <c r="J10" s="187"/>
      <c r="K10" s="29"/>
      <c r="L10" s="29"/>
      <c r="M10" s="29"/>
      <c r="N10" s="29"/>
    </row>
    <row r="11" spans="1:28" ht="10.5">
      <c r="B11" s="391"/>
      <c r="C11" s="391"/>
      <c r="D11" s="391"/>
      <c r="E11" s="391"/>
      <c r="F11" s="391"/>
      <c r="G11" s="391"/>
      <c r="H11" s="391"/>
      <c r="I11" s="391"/>
      <c r="J11" s="391"/>
      <c r="K11" s="391"/>
      <c r="L11" s="391"/>
      <c r="M11" s="391"/>
      <c r="N11" s="391"/>
    </row>
    <row r="12" spans="1:28" ht="10.5">
      <c r="B12" s="289"/>
      <c r="C12" s="64"/>
      <c r="D12" s="278"/>
      <c r="E12" s="279"/>
      <c r="F12" s="279"/>
      <c r="G12" s="279"/>
      <c r="H12" s="279"/>
      <c r="I12" s="186"/>
      <c r="J12" s="187"/>
    </row>
    <row r="13" spans="1:28">
      <c r="B13" s="289"/>
      <c r="C13" s="64"/>
      <c r="D13" s="139"/>
      <c r="I13" s="186"/>
      <c r="J13" s="187"/>
    </row>
    <row r="14" spans="1:28" ht="10.5">
      <c r="B14" s="179"/>
      <c r="C14" s="179"/>
      <c r="D14" s="179"/>
      <c r="E14" s="179"/>
      <c r="F14" s="179"/>
      <c r="G14" s="179"/>
      <c r="H14" s="29"/>
      <c r="I14" s="186"/>
      <c r="J14" s="187"/>
      <c r="K14" s="29"/>
      <c r="L14" s="29"/>
      <c r="M14" s="29"/>
      <c r="N14" s="29"/>
      <c r="O14" s="92"/>
    </row>
    <row r="15" spans="1:28" ht="10.5">
      <c r="B15" s="29"/>
      <c r="C15" s="29"/>
      <c r="D15" s="29"/>
      <c r="E15" s="29"/>
      <c r="F15" s="29"/>
      <c r="G15" s="29"/>
      <c r="H15" s="29"/>
      <c r="I15" s="186"/>
      <c r="J15" s="187"/>
      <c r="K15" s="29"/>
      <c r="L15" s="29"/>
      <c r="M15" s="29"/>
      <c r="N15" s="29"/>
    </row>
    <row r="16" spans="1:28" ht="10.5">
      <c r="B16" s="29"/>
      <c r="C16" s="43"/>
      <c r="D16" s="43"/>
      <c r="E16" s="43"/>
      <c r="F16" s="43"/>
      <c r="G16" s="43"/>
      <c r="H16" s="98"/>
      <c r="I16" s="186"/>
      <c r="J16" s="187"/>
      <c r="K16" s="103"/>
      <c r="L16" s="103"/>
      <c r="M16" s="103"/>
      <c r="N16" s="103"/>
      <c r="O16" s="328"/>
    </row>
    <row r="17" spans="2:24" ht="10.5">
      <c r="B17" s="193"/>
      <c r="C17" s="193"/>
      <c r="D17" s="275"/>
      <c r="E17" s="275"/>
      <c r="F17" s="275"/>
      <c r="G17" s="275"/>
      <c r="H17" s="275"/>
      <c r="I17" s="275"/>
      <c r="J17" s="275"/>
      <c r="K17" s="275"/>
      <c r="L17" s="275"/>
      <c r="M17" s="275"/>
      <c r="N17" s="275"/>
      <c r="O17" s="275"/>
      <c r="P17" s="275"/>
      <c r="Q17" s="275"/>
      <c r="R17" s="275"/>
    </row>
    <row r="18" spans="2:24" ht="10.5">
      <c r="B18" s="141"/>
      <c r="C18" s="272"/>
      <c r="D18" s="134"/>
      <c r="E18" s="135"/>
      <c r="F18" s="136"/>
      <c r="G18" s="136"/>
      <c r="H18" s="137"/>
      <c r="I18" s="186"/>
      <c r="J18" s="187"/>
      <c r="K18" s="342"/>
      <c r="L18" s="343"/>
      <c r="M18" s="343"/>
      <c r="N18" s="344"/>
      <c r="O18" s="272"/>
      <c r="P18" s="272"/>
      <c r="Q18" s="272"/>
      <c r="R18" s="272"/>
      <c r="S18" s="345"/>
      <c r="T18" s="346"/>
    </row>
    <row r="19" spans="2:24" ht="10.5">
      <c r="B19" s="49"/>
      <c r="C19" s="44"/>
      <c r="D19" s="50"/>
      <c r="E19" s="51"/>
      <c r="F19" s="51"/>
      <c r="G19" s="82"/>
      <c r="H19" s="82"/>
      <c r="I19" s="186"/>
      <c r="J19" s="187"/>
      <c r="K19" s="53"/>
      <c r="L19" s="54"/>
      <c r="M19" s="54"/>
      <c r="N19" s="55"/>
      <c r="O19" s="44"/>
      <c r="P19" s="44"/>
      <c r="Q19" s="44"/>
      <c r="R19" s="44"/>
      <c r="S19" s="56"/>
      <c r="T19" s="52"/>
      <c r="U19" s="300"/>
    </row>
    <row r="20" spans="2:24">
      <c r="B20" s="301"/>
      <c r="C20" s="302"/>
      <c r="D20" s="303"/>
      <c r="E20" s="304"/>
      <c r="F20" s="305"/>
      <c r="G20" s="305"/>
      <c r="H20" s="196"/>
      <c r="I20" s="186"/>
      <c r="J20" s="187"/>
      <c r="K20" s="308"/>
      <c r="L20" s="309"/>
      <c r="M20" s="309"/>
      <c r="N20" s="55"/>
      <c r="O20" s="302"/>
      <c r="P20" s="302"/>
      <c r="Q20" s="302"/>
      <c r="R20" s="302"/>
      <c r="S20" s="56"/>
      <c r="T20" s="310"/>
      <c r="U20" s="321"/>
      <c r="V20" s="322"/>
      <c r="W20" s="324"/>
      <c r="X20" s="323"/>
    </row>
    <row r="21" spans="2:24" ht="10.5">
      <c r="B21" s="112"/>
      <c r="C21" s="138"/>
      <c r="D21" s="303"/>
      <c r="E21" s="304"/>
      <c r="F21" s="305"/>
      <c r="G21" s="293"/>
      <c r="H21" s="283"/>
      <c r="I21" s="186"/>
      <c r="J21" s="187"/>
      <c r="K21" s="308"/>
      <c r="L21" s="309"/>
      <c r="M21" s="309"/>
      <c r="N21" s="55"/>
      <c r="O21" s="302"/>
      <c r="P21" s="302"/>
      <c r="Q21" s="302"/>
      <c r="R21" s="302"/>
      <c r="S21" s="56"/>
      <c r="T21" s="310"/>
      <c r="U21" s="321"/>
      <c r="V21" s="322"/>
      <c r="W21" s="324"/>
      <c r="X21" s="323"/>
    </row>
    <row r="22" spans="2:24">
      <c r="B22" s="301"/>
      <c r="C22" s="302"/>
      <c r="D22" s="303"/>
      <c r="E22" s="304"/>
      <c r="F22" s="305"/>
      <c r="G22" s="293"/>
      <c r="H22" s="283"/>
      <c r="I22" s="186"/>
      <c r="J22" s="187"/>
      <c r="K22" s="308"/>
      <c r="L22" s="309"/>
      <c r="M22" s="309"/>
      <c r="N22" s="55"/>
      <c r="O22" s="302"/>
      <c r="P22" s="302"/>
      <c r="Q22" s="302"/>
      <c r="R22" s="302"/>
      <c r="S22" s="56"/>
      <c r="T22" s="310"/>
      <c r="U22" s="321"/>
      <c r="V22" s="322"/>
      <c r="W22" s="324"/>
      <c r="X22" s="323"/>
    </row>
    <row r="23" spans="2:24">
      <c r="B23" s="301"/>
      <c r="C23" s="302"/>
      <c r="D23" s="303"/>
      <c r="E23" s="304"/>
      <c r="F23" s="305"/>
      <c r="G23" s="293"/>
      <c r="H23" s="283"/>
      <c r="I23" s="186"/>
      <c r="J23" s="187"/>
      <c r="K23" s="308"/>
      <c r="L23" s="309"/>
      <c r="M23" s="309"/>
      <c r="N23" s="55"/>
      <c r="O23" s="302"/>
      <c r="P23" s="302"/>
      <c r="Q23" s="302"/>
      <c r="R23" s="302"/>
      <c r="S23" s="56"/>
      <c r="T23" s="310"/>
      <c r="U23" s="321"/>
      <c r="V23" s="322"/>
      <c r="W23" s="324"/>
      <c r="X23" s="323"/>
    </row>
    <row r="24" spans="2:24" ht="10.5">
      <c r="B24" s="253"/>
      <c r="C24" s="255"/>
      <c r="D24" s="253"/>
      <c r="E24" s="253"/>
      <c r="F24" s="253"/>
      <c r="G24" s="253"/>
      <c r="H24" s="253"/>
      <c r="I24" s="253"/>
      <c r="J24" s="253"/>
      <c r="K24" s="253"/>
      <c r="L24" s="253"/>
      <c r="M24" s="253"/>
      <c r="N24" s="253"/>
      <c r="O24" s="277"/>
      <c r="P24" s="277"/>
      <c r="Q24" s="277"/>
      <c r="R24" s="277"/>
      <c r="S24" s="56"/>
      <c r="T24" s="310"/>
      <c r="U24" s="321"/>
      <c r="V24" s="322"/>
      <c r="W24" s="324"/>
      <c r="X24" s="323"/>
    </row>
    <row r="25" spans="2:24" ht="10.5" thickBot="1">
      <c r="B25" s="301"/>
      <c r="C25" s="302"/>
      <c r="D25" s="303"/>
      <c r="E25" s="304"/>
      <c r="F25" s="305"/>
      <c r="G25" s="293"/>
      <c r="H25" s="283"/>
      <c r="I25" s="188"/>
      <c r="J25" s="189"/>
      <c r="K25" s="308"/>
      <c r="L25" s="309"/>
      <c r="M25" s="309"/>
      <c r="N25" s="55"/>
      <c r="O25" s="302"/>
      <c r="P25" s="302"/>
      <c r="Q25" s="302"/>
      <c r="R25" s="302"/>
      <c r="S25" s="56"/>
      <c r="T25" s="310"/>
      <c r="U25" s="321"/>
      <c r="V25" s="322"/>
      <c r="W25" s="324"/>
      <c r="X25" s="323"/>
    </row>
    <row r="26" spans="2:24">
      <c r="B26" s="301"/>
      <c r="C26" s="302"/>
      <c r="D26" s="303"/>
      <c r="E26" s="304"/>
      <c r="F26" s="305"/>
      <c r="G26" s="203"/>
      <c r="H26" s="283"/>
      <c r="I26" s="287"/>
      <c r="J26" s="307"/>
      <c r="K26" s="308"/>
      <c r="L26" s="309"/>
      <c r="M26" s="309"/>
      <c r="N26" s="55"/>
      <c r="O26" s="302"/>
      <c r="P26" s="302"/>
      <c r="Q26" s="302"/>
      <c r="R26" s="302"/>
      <c r="S26" s="56"/>
      <c r="T26" s="310"/>
      <c r="U26" s="321"/>
      <c r="V26" s="322"/>
      <c r="W26" s="324"/>
      <c r="X26" s="323"/>
    </row>
    <row r="27" spans="2:24" ht="10.5">
      <c r="B27" s="99"/>
      <c r="C27" s="99"/>
      <c r="D27" s="99"/>
      <c r="E27" s="99"/>
      <c r="F27" s="99"/>
      <c r="G27" s="99"/>
      <c r="H27" s="99"/>
      <c r="I27" s="99"/>
      <c r="J27" s="99"/>
      <c r="K27" s="99"/>
      <c r="L27" s="99"/>
      <c r="M27" s="99"/>
      <c r="N27" s="99"/>
      <c r="O27" s="302"/>
      <c r="P27" s="302"/>
      <c r="Q27" s="302"/>
      <c r="R27" s="302"/>
      <c r="S27" s="56"/>
      <c r="T27" s="310"/>
      <c r="U27" s="321"/>
      <c r="V27" s="322"/>
      <c r="W27" s="324"/>
      <c r="X27" s="323"/>
    </row>
    <row r="28" spans="2:24" ht="10.5">
      <c r="B28" s="205"/>
      <c r="C28" s="258"/>
      <c r="D28" s="206"/>
      <c r="E28" s="206"/>
      <c r="F28" s="206"/>
      <c r="G28" s="206"/>
      <c r="H28" s="206"/>
      <c r="I28" s="206"/>
      <c r="J28" s="206"/>
      <c r="K28" s="206"/>
      <c r="L28" s="206"/>
      <c r="M28" s="206"/>
      <c r="N28" s="206"/>
      <c r="O28" s="277"/>
      <c r="P28" s="277"/>
      <c r="Q28" s="277"/>
      <c r="R28" s="277"/>
      <c r="S28" s="56"/>
      <c r="T28" s="310"/>
      <c r="U28" s="321"/>
      <c r="V28" s="322"/>
      <c r="W28" s="324"/>
      <c r="X28" s="323"/>
    </row>
    <row r="29" spans="2:24" ht="10.5">
      <c r="B29" s="112"/>
      <c r="C29" s="140"/>
      <c r="D29" s="303"/>
      <c r="E29" s="304"/>
      <c r="F29" s="305"/>
      <c r="G29" s="305"/>
      <c r="H29" s="196"/>
      <c r="I29" s="306"/>
      <c r="J29" s="307"/>
      <c r="K29" s="308"/>
      <c r="L29" s="309"/>
      <c r="M29" s="309"/>
      <c r="N29" s="55"/>
      <c r="O29" s="302"/>
      <c r="P29" s="302"/>
      <c r="Q29" s="302"/>
      <c r="R29" s="302"/>
      <c r="S29" s="56"/>
      <c r="T29" s="310"/>
      <c r="U29" s="321"/>
      <c r="V29" s="322"/>
      <c r="W29" s="324"/>
      <c r="X29" s="323"/>
    </row>
    <row r="30" spans="2:24">
      <c r="B30" s="301"/>
      <c r="C30" s="302"/>
      <c r="D30" s="303"/>
      <c r="E30" s="304"/>
      <c r="F30" s="305"/>
      <c r="G30" s="305"/>
      <c r="H30" s="196"/>
      <c r="I30" s="306"/>
      <c r="J30" s="307"/>
      <c r="K30" s="308"/>
      <c r="L30" s="309"/>
      <c r="M30" s="309"/>
      <c r="N30" s="55"/>
      <c r="O30" s="302"/>
      <c r="P30" s="302"/>
      <c r="Q30" s="302"/>
      <c r="R30" s="302"/>
      <c r="S30" s="56"/>
      <c r="T30" s="310"/>
      <c r="U30" s="321"/>
      <c r="V30" s="322"/>
      <c r="W30" s="324"/>
      <c r="X30" s="323"/>
    </row>
    <row r="31" spans="2:24" ht="10.5">
      <c r="B31" s="205"/>
      <c r="C31" s="258"/>
      <c r="D31" s="277"/>
      <c r="E31" s="277"/>
      <c r="F31" s="277"/>
      <c r="G31" s="277"/>
      <c r="H31" s="277"/>
      <c r="I31" s="277"/>
      <c r="J31" s="277"/>
      <c r="K31" s="277"/>
      <c r="L31" s="277"/>
      <c r="M31" s="277"/>
      <c r="N31" s="277"/>
      <c r="O31" s="277"/>
      <c r="P31" s="277"/>
      <c r="Q31" s="277"/>
      <c r="R31" s="277"/>
      <c r="S31" s="56"/>
      <c r="T31" s="310"/>
      <c r="U31" s="321"/>
      <c r="V31" s="322"/>
      <c r="W31" s="324"/>
      <c r="X31" s="323"/>
    </row>
    <row r="32" spans="2:24" ht="10.5">
      <c r="B32" s="205"/>
      <c r="C32" s="258"/>
      <c r="D32" s="206"/>
      <c r="E32" s="206"/>
      <c r="F32" s="206"/>
      <c r="G32" s="206"/>
      <c r="H32" s="206"/>
      <c r="I32" s="206"/>
      <c r="J32" s="206"/>
      <c r="K32" s="206"/>
      <c r="L32" s="206"/>
      <c r="M32" s="206"/>
      <c r="N32" s="206"/>
      <c r="O32" s="302"/>
      <c r="P32" s="302"/>
      <c r="Q32" s="302"/>
      <c r="R32" s="302"/>
      <c r="S32" s="56"/>
      <c r="T32" s="310"/>
      <c r="U32" s="321"/>
      <c r="V32" s="322"/>
      <c r="W32" s="324"/>
      <c r="X32" s="323"/>
    </row>
    <row r="33" spans="2:24">
      <c r="B33" s="301"/>
      <c r="C33" s="302"/>
      <c r="D33" s="303"/>
      <c r="E33" s="304"/>
      <c r="F33" s="305"/>
      <c r="G33" s="305"/>
      <c r="H33" s="196"/>
      <c r="I33" s="306"/>
      <c r="J33" s="307"/>
      <c r="K33" s="308"/>
      <c r="L33" s="309"/>
      <c r="M33" s="309"/>
      <c r="N33" s="55"/>
      <c r="O33" s="302"/>
      <c r="P33" s="302"/>
      <c r="Q33" s="302"/>
      <c r="R33" s="302"/>
      <c r="S33" s="56"/>
      <c r="T33" s="310"/>
      <c r="U33" s="321"/>
      <c r="V33" s="322"/>
      <c r="W33" s="324"/>
      <c r="X33" s="323"/>
    </row>
    <row r="34" spans="2:24" ht="10.5" thickBot="1">
      <c r="B34" s="311"/>
      <c r="C34" s="312"/>
      <c r="D34" s="313"/>
      <c r="E34" s="314"/>
      <c r="F34" s="315"/>
      <c r="G34" s="315"/>
      <c r="H34" s="267"/>
      <c r="I34" s="316"/>
      <c r="J34" s="317"/>
      <c r="K34" s="318"/>
      <c r="L34" s="319"/>
      <c r="M34" s="319"/>
      <c r="N34" s="268"/>
      <c r="O34" s="312"/>
      <c r="P34" s="312"/>
      <c r="Q34" s="312"/>
      <c r="R34" s="312"/>
      <c r="S34" s="269"/>
      <c r="T34" s="320"/>
      <c r="U34" s="321"/>
      <c r="V34" s="322"/>
      <c r="W34" s="324"/>
      <c r="X34" s="323"/>
    </row>
    <row r="35" spans="2:24" ht="11" thickBot="1">
      <c r="B35" s="113"/>
      <c r="C35" s="249"/>
      <c r="D35" s="114"/>
      <c r="E35" s="90"/>
      <c r="F35" s="36"/>
      <c r="G35" s="36"/>
      <c r="H35" s="163"/>
      <c r="I35" s="36"/>
      <c r="J35" s="166"/>
      <c r="K35" s="29"/>
      <c r="L35" s="29"/>
      <c r="M35" s="29"/>
      <c r="N35" s="29"/>
      <c r="O35" s="129"/>
    </row>
    <row r="36" spans="2:24" ht="10.5">
      <c r="B36" s="120"/>
      <c r="D36" s="154"/>
      <c r="E36" s="155"/>
      <c r="F36" s="156"/>
      <c r="G36" s="156"/>
      <c r="H36" s="163"/>
      <c r="I36" s="156"/>
      <c r="J36" s="167"/>
      <c r="K36" s="103"/>
      <c r="L36" s="40"/>
      <c r="M36" s="40"/>
      <c r="N36" s="40"/>
      <c r="O36" s="40"/>
    </row>
    <row r="37" spans="2:24" ht="11" thickBot="1">
      <c r="B37" s="121"/>
      <c r="C37" s="104"/>
      <c r="D37" s="153"/>
      <c r="E37" s="90"/>
      <c r="F37" s="36"/>
      <c r="G37" s="36"/>
      <c r="H37" s="163"/>
      <c r="I37" s="36"/>
      <c r="J37" s="166"/>
      <c r="K37" s="122"/>
      <c r="L37" s="122"/>
      <c r="M37" s="122"/>
      <c r="N37" s="122"/>
      <c r="O37" s="336"/>
    </row>
    <row r="38" spans="2:24" ht="10.5">
      <c r="B38" s="205"/>
      <c r="C38" s="258"/>
      <c r="D38" s="206"/>
      <c r="E38" s="122"/>
      <c r="F38" s="122"/>
      <c r="G38" s="122"/>
      <c r="H38" s="122"/>
      <c r="I38" s="122"/>
      <c r="J38" s="122"/>
      <c r="K38" s="122"/>
      <c r="L38" s="122"/>
      <c r="M38" s="122"/>
      <c r="N38" s="122"/>
    </row>
    <row r="39" spans="2:24">
      <c r="B39" s="121"/>
      <c r="C39" s="104"/>
      <c r="D39" s="122"/>
      <c r="E39" s="122"/>
      <c r="F39" s="122"/>
      <c r="G39" s="122"/>
      <c r="H39" s="122"/>
      <c r="I39" s="122"/>
      <c r="J39" s="122"/>
      <c r="K39" s="122"/>
      <c r="L39" s="122"/>
      <c r="M39" s="122"/>
      <c r="N39" s="122"/>
    </row>
    <row r="40" spans="2:24" ht="10.5">
      <c r="B40" s="253"/>
      <c r="C40" s="253"/>
      <c r="D40" s="253"/>
      <c r="E40" s="253"/>
      <c r="F40" s="253"/>
      <c r="G40" s="253"/>
      <c r="H40" s="253"/>
      <c r="I40" s="253"/>
      <c r="J40" s="253"/>
      <c r="K40" s="253"/>
      <c r="L40" s="253"/>
      <c r="M40" s="253"/>
      <c r="N40" s="253"/>
    </row>
    <row r="42" spans="2:24" ht="10.5">
      <c r="B42" s="205"/>
      <c r="C42" s="258"/>
      <c r="D42" s="206"/>
      <c r="E42" s="253"/>
      <c r="G42" s="253"/>
      <c r="H42" s="253"/>
      <c r="I42" s="253"/>
      <c r="J42" s="253"/>
    </row>
    <row r="43" spans="2:24" ht="10.5">
      <c r="B43" s="96"/>
      <c r="C43" s="29"/>
      <c r="D43" s="29"/>
      <c r="E43" s="29"/>
      <c r="F43" s="29"/>
      <c r="G43" s="29"/>
      <c r="H43" s="29"/>
      <c r="I43" s="29"/>
      <c r="J43" s="29"/>
      <c r="K43" s="29"/>
      <c r="L43" s="29"/>
      <c r="M43" s="29"/>
      <c r="N43" s="29"/>
    </row>
    <row r="44" spans="2:24">
      <c r="B44" s="281"/>
      <c r="C44" s="282"/>
      <c r="D44" s="282"/>
      <c r="E44" s="282"/>
      <c r="F44" s="122"/>
      <c r="G44" s="281"/>
      <c r="H44" s="195"/>
      <c r="I44" s="195"/>
      <c r="J44" s="195"/>
      <c r="K44" s="122"/>
      <c r="L44" s="122"/>
      <c r="M44" s="122"/>
      <c r="N44" s="122"/>
    </row>
    <row r="45" spans="2:24">
      <c r="B45" s="281"/>
      <c r="C45" s="282"/>
      <c r="D45" s="282"/>
      <c r="E45" s="282"/>
      <c r="F45" s="122"/>
      <c r="G45" s="281"/>
      <c r="H45" s="195"/>
      <c r="I45" s="195"/>
      <c r="J45" s="195"/>
      <c r="K45" s="122"/>
      <c r="L45" s="122"/>
      <c r="M45" s="122"/>
      <c r="N45" s="122"/>
    </row>
    <row r="46" spans="2:24" ht="10.5" thickBot="1">
      <c r="B46" s="281"/>
      <c r="C46" s="282"/>
      <c r="D46" s="282"/>
      <c r="E46" s="282"/>
      <c r="F46" s="123"/>
      <c r="G46" s="281"/>
      <c r="H46" s="195"/>
      <c r="I46" s="195"/>
      <c r="J46" s="195"/>
      <c r="K46" s="123"/>
      <c r="L46" s="123"/>
      <c r="M46" s="123"/>
      <c r="N46" s="123"/>
    </row>
    <row r="47" spans="2:24" ht="10.5">
      <c r="B47" s="281"/>
      <c r="C47" s="282"/>
      <c r="D47" s="282"/>
      <c r="E47" s="282"/>
      <c r="F47" s="99"/>
      <c r="G47" s="281"/>
      <c r="H47" s="195"/>
      <c r="I47" s="195"/>
      <c r="J47" s="195"/>
      <c r="K47" s="99"/>
      <c r="L47" s="99"/>
      <c r="M47" s="99"/>
      <c r="N47" s="99"/>
    </row>
    <row r="48" spans="2:24" ht="10.5">
      <c r="B48" s="263"/>
      <c r="C48" s="282"/>
      <c r="D48" s="282"/>
      <c r="E48" s="282"/>
      <c r="G48" s="281"/>
      <c r="H48" s="195"/>
      <c r="I48" s="195"/>
      <c r="J48" s="195"/>
    </row>
    <row r="49" spans="2:15">
      <c r="B49" s="257"/>
      <c r="C49" s="282"/>
      <c r="D49" s="282"/>
      <c r="E49" s="282"/>
      <c r="G49" s="257"/>
      <c r="H49" s="195"/>
      <c r="I49" s="195"/>
      <c r="J49" s="195"/>
    </row>
    <row r="51" spans="2:15" ht="10.5">
      <c r="B51" s="96"/>
      <c r="C51" s="29"/>
      <c r="D51" s="29"/>
      <c r="E51" s="29"/>
      <c r="F51" s="29"/>
      <c r="G51" s="29"/>
      <c r="H51" s="29"/>
      <c r="I51" s="29"/>
      <c r="J51" s="29"/>
      <c r="K51" s="29"/>
      <c r="L51" s="29"/>
      <c r="M51" s="29"/>
      <c r="N51" s="29"/>
    </row>
    <row r="54" spans="2:15" ht="10.5">
      <c r="B54" s="253"/>
      <c r="C54" s="253"/>
      <c r="D54" s="253"/>
      <c r="E54" s="253"/>
      <c r="F54" s="253"/>
      <c r="G54" s="253"/>
      <c r="H54" s="253"/>
      <c r="I54" s="253"/>
      <c r="J54" s="253"/>
      <c r="K54" s="253"/>
      <c r="L54" s="253"/>
      <c r="M54" s="253"/>
      <c r="N54" s="253"/>
    </row>
    <row r="61" spans="2:15" ht="10.5">
      <c r="B61" s="29"/>
      <c r="C61" s="29"/>
      <c r="D61" s="29"/>
      <c r="E61" s="29"/>
      <c r="F61" s="29"/>
      <c r="G61" s="29"/>
      <c r="H61" s="29"/>
      <c r="I61" s="29"/>
      <c r="J61" s="29"/>
      <c r="K61" s="29"/>
      <c r="L61" s="29"/>
      <c r="M61" s="29"/>
      <c r="N61" s="29"/>
      <c r="O61" s="29"/>
    </row>
    <row r="63" spans="2:15" ht="10.5">
      <c r="B63" s="126"/>
      <c r="O63" s="131"/>
    </row>
    <row r="64" spans="2:15">
      <c r="B64" s="124"/>
      <c r="D64" s="103"/>
      <c r="E64" s="103"/>
      <c r="F64" s="103"/>
      <c r="G64" s="103"/>
      <c r="H64" s="103"/>
      <c r="I64" s="103"/>
      <c r="J64" s="103"/>
      <c r="K64" s="103"/>
      <c r="L64" s="103"/>
      <c r="M64" s="103"/>
      <c r="N64" s="103"/>
      <c r="O64" s="132"/>
    </row>
    <row r="65" spans="2:15">
      <c r="B65" s="124"/>
      <c r="D65" s="103"/>
      <c r="E65" s="103"/>
      <c r="F65" s="103"/>
      <c r="G65" s="103"/>
      <c r="H65" s="103"/>
      <c r="I65" s="103"/>
      <c r="J65" s="103"/>
      <c r="K65" s="103"/>
      <c r="L65" s="103"/>
      <c r="M65" s="103"/>
      <c r="N65" s="103"/>
      <c r="O65" s="132"/>
    </row>
    <row r="66" spans="2:15">
      <c r="B66" s="124"/>
      <c r="D66" s="103"/>
      <c r="E66" s="103"/>
      <c r="F66" s="103"/>
      <c r="G66" s="103"/>
      <c r="H66" s="103"/>
      <c r="I66" s="103"/>
      <c r="J66" s="103"/>
      <c r="K66" s="103"/>
      <c r="L66" s="103"/>
      <c r="M66" s="103"/>
      <c r="N66" s="103"/>
      <c r="O66" s="83"/>
    </row>
    <row r="67" spans="2:15" ht="10.5">
      <c r="B67" s="99"/>
      <c r="C67" s="99"/>
      <c r="D67" s="99"/>
      <c r="E67" s="99"/>
      <c r="F67" s="99"/>
      <c r="G67" s="99"/>
      <c r="H67" s="99"/>
      <c r="I67" s="99"/>
      <c r="J67" s="99"/>
      <c r="K67" s="99"/>
      <c r="L67" s="99"/>
      <c r="M67" s="99"/>
      <c r="N67" s="99"/>
      <c r="O67" s="131"/>
    </row>
    <row r="68" spans="2:15">
      <c r="B68" s="111"/>
      <c r="D68" s="103"/>
      <c r="E68" s="103"/>
      <c r="F68" s="103"/>
      <c r="G68" s="103"/>
      <c r="H68" s="103"/>
      <c r="I68" s="103"/>
      <c r="J68" s="103"/>
      <c r="K68" s="103"/>
      <c r="L68" s="103"/>
      <c r="M68" s="103"/>
      <c r="N68" s="103"/>
      <c r="O68" s="132"/>
    </row>
    <row r="69" spans="2:15">
      <c r="B69" s="111"/>
      <c r="D69" s="103"/>
      <c r="E69" s="103"/>
      <c r="F69" s="103"/>
      <c r="G69" s="103"/>
      <c r="H69" s="103"/>
      <c r="I69" s="103"/>
      <c r="J69" s="103"/>
      <c r="K69" s="103"/>
      <c r="L69" s="103"/>
      <c r="M69" s="103"/>
      <c r="N69" s="103"/>
      <c r="O69" s="132"/>
    </row>
    <row r="70" spans="2:15">
      <c r="B70" s="111"/>
      <c r="D70" s="103"/>
      <c r="E70" s="103"/>
      <c r="F70" s="103"/>
      <c r="G70" s="103"/>
      <c r="H70" s="103"/>
      <c r="I70" s="103"/>
      <c r="J70" s="103"/>
      <c r="K70" s="103"/>
      <c r="L70" s="103"/>
      <c r="M70" s="103"/>
      <c r="N70" s="103"/>
      <c r="O70" s="132"/>
    </row>
    <row r="71" spans="2:15" ht="10.5">
      <c r="B71" s="193"/>
      <c r="C71" s="193"/>
      <c r="D71" s="193"/>
      <c r="E71" s="193"/>
      <c r="F71" s="193"/>
      <c r="G71" s="193"/>
      <c r="H71" s="193"/>
      <c r="I71" s="193"/>
      <c r="J71" s="193"/>
      <c r="K71" s="103"/>
      <c r="L71" s="103"/>
      <c r="M71" s="103"/>
      <c r="N71" s="103"/>
      <c r="O71" s="132"/>
    </row>
    <row r="72" spans="2:15">
      <c r="B72" s="332"/>
      <c r="C72" s="330"/>
      <c r="D72" s="331"/>
      <c r="E72" s="331"/>
      <c r="F72" s="331"/>
      <c r="G72" s="331"/>
      <c r="H72" s="331"/>
      <c r="I72" s="331"/>
      <c r="J72" s="331"/>
      <c r="K72" s="331"/>
      <c r="L72" s="331"/>
      <c r="M72" s="331"/>
      <c r="N72" s="331"/>
      <c r="O72" s="341"/>
    </row>
    <row r="73" spans="2:15">
      <c r="B73" s="124"/>
      <c r="D73" s="103"/>
      <c r="E73" s="103"/>
      <c r="F73" s="103"/>
      <c r="G73" s="103"/>
      <c r="H73" s="103"/>
      <c r="I73" s="103"/>
      <c r="J73" s="103"/>
      <c r="K73" s="103"/>
      <c r="L73" s="103"/>
      <c r="M73" s="103"/>
      <c r="N73" s="103"/>
      <c r="O73" s="133"/>
    </row>
    <row r="74" spans="2:15">
      <c r="B74" s="257"/>
      <c r="C74" s="194"/>
      <c r="D74" s="231"/>
      <c r="E74" s="283"/>
      <c r="F74" s="232"/>
      <c r="G74" s="195"/>
      <c r="H74" s="232"/>
      <c r="I74" s="284"/>
      <c r="J74" s="195"/>
      <c r="K74" s="103"/>
      <c r="L74" s="103"/>
      <c r="M74" s="103"/>
      <c r="N74" s="103"/>
      <c r="O74" s="132"/>
    </row>
    <row r="75" spans="2:15">
      <c r="B75" s="257"/>
      <c r="C75" s="194"/>
      <c r="D75" s="231"/>
      <c r="E75" s="283"/>
      <c r="F75" s="232"/>
      <c r="G75" s="195"/>
      <c r="H75" s="232"/>
      <c r="I75" s="284"/>
      <c r="J75" s="195"/>
      <c r="K75" s="103"/>
      <c r="L75" s="103"/>
      <c r="M75" s="103"/>
      <c r="N75" s="103"/>
      <c r="O75" s="133"/>
    </row>
    <row r="76" spans="2:15">
      <c r="B76" s="257"/>
      <c r="C76" s="194"/>
      <c r="D76" s="231"/>
      <c r="E76" s="283"/>
      <c r="F76" s="232"/>
      <c r="G76" s="195"/>
      <c r="H76" s="232"/>
      <c r="I76" s="284"/>
      <c r="J76" s="195"/>
      <c r="K76" s="103"/>
      <c r="L76" s="103"/>
      <c r="M76" s="103"/>
      <c r="N76" s="103"/>
      <c r="O76" s="132"/>
    </row>
    <row r="77" spans="2:15">
      <c r="B77" s="257"/>
      <c r="C77" s="194"/>
      <c r="D77" s="231"/>
      <c r="E77" s="283"/>
      <c r="F77" s="232"/>
      <c r="G77" s="195"/>
      <c r="H77" s="232"/>
      <c r="I77" s="284"/>
      <c r="J77" s="195"/>
      <c r="K77" s="103"/>
      <c r="L77" s="103"/>
      <c r="M77" s="103"/>
      <c r="N77" s="103"/>
      <c r="O77" s="83"/>
    </row>
    <row r="78" spans="2:15">
      <c r="B78" s="257"/>
      <c r="C78" s="194"/>
      <c r="D78" s="231"/>
      <c r="E78" s="283"/>
      <c r="F78" s="232"/>
      <c r="G78" s="195"/>
      <c r="H78" s="232"/>
      <c r="I78" s="284"/>
      <c r="J78" s="195"/>
    </row>
    <row r="79" spans="2:15">
      <c r="B79" s="257"/>
      <c r="C79" s="194"/>
      <c r="D79" s="231"/>
      <c r="E79" s="283"/>
      <c r="F79" s="232"/>
      <c r="G79" s="195"/>
      <c r="H79" s="232"/>
      <c r="I79" s="284"/>
      <c r="J79" s="195"/>
    </row>
    <row r="80" spans="2:15">
      <c r="B80" s="257"/>
      <c r="C80" s="194"/>
      <c r="D80" s="231"/>
      <c r="E80" s="283"/>
      <c r="F80" s="232"/>
      <c r="G80" s="195"/>
      <c r="H80" s="232"/>
      <c r="I80" s="284"/>
      <c r="J80" s="195"/>
    </row>
    <row r="81" spans="2:15">
      <c r="B81" s="257"/>
      <c r="C81" s="194"/>
      <c r="D81" s="231"/>
      <c r="E81" s="283"/>
      <c r="F81" s="232"/>
      <c r="G81" s="195"/>
      <c r="H81" s="232"/>
      <c r="I81" s="284"/>
      <c r="J81" s="195"/>
    </row>
    <row r="82" spans="2:15">
      <c r="B82" s="257"/>
      <c r="C82" s="194"/>
      <c r="D82" s="231"/>
      <c r="E82" s="283"/>
      <c r="F82" s="232"/>
      <c r="G82" s="195"/>
      <c r="H82" s="232"/>
      <c r="I82" s="284"/>
      <c r="J82" s="195"/>
    </row>
    <row r="83" spans="2:15">
      <c r="B83" s="257"/>
      <c r="C83" s="194"/>
      <c r="D83" s="231"/>
      <c r="E83" s="283"/>
      <c r="F83" s="232"/>
      <c r="G83" s="195"/>
      <c r="H83" s="232"/>
      <c r="I83" s="284"/>
      <c r="J83" s="195"/>
    </row>
    <row r="84" spans="2:15">
      <c r="B84" s="257"/>
      <c r="C84" s="194"/>
      <c r="D84" s="231"/>
      <c r="E84" s="283"/>
      <c r="F84" s="232"/>
      <c r="G84" s="195"/>
      <c r="H84" s="232"/>
      <c r="I84" s="284"/>
      <c r="J84" s="195"/>
    </row>
    <row r="85" spans="2:15">
      <c r="B85" s="257"/>
      <c r="C85" s="194"/>
      <c r="D85" s="231"/>
      <c r="E85" s="283"/>
      <c r="F85" s="232"/>
      <c r="G85" s="195"/>
      <c r="H85" s="232"/>
      <c r="I85" s="284"/>
      <c r="J85" s="195"/>
    </row>
    <row r="86" spans="2:15">
      <c r="B86" s="257"/>
      <c r="C86" s="194"/>
      <c r="D86" s="231"/>
      <c r="E86" s="285"/>
      <c r="F86" s="232"/>
      <c r="G86" s="195"/>
      <c r="H86" s="232"/>
      <c r="I86" s="286"/>
      <c r="J86" s="195"/>
    </row>
    <row r="87" spans="2:15" ht="10.5">
      <c r="B87" s="257"/>
      <c r="C87" s="194"/>
      <c r="D87" s="231"/>
      <c r="E87" s="285"/>
      <c r="F87" s="232"/>
      <c r="G87" s="195"/>
      <c r="H87" s="232"/>
      <c r="I87" s="286"/>
      <c r="J87" s="195"/>
      <c r="K87" s="99"/>
      <c r="L87" s="99"/>
      <c r="M87" s="99"/>
      <c r="N87" s="99"/>
      <c r="O87" s="99"/>
    </row>
    <row r="88" spans="2:15">
      <c r="B88" s="257"/>
      <c r="C88" s="194"/>
      <c r="D88" s="231"/>
      <c r="E88" s="285"/>
      <c r="F88" s="232"/>
      <c r="G88" s="195"/>
      <c r="H88" s="232"/>
      <c r="I88" s="286"/>
      <c r="J88" s="195"/>
    </row>
    <row r="97" spans="2:15" ht="10.5">
      <c r="B97" s="193"/>
      <c r="C97" s="193"/>
      <c r="D97" s="193"/>
      <c r="E97" s="193"/>
      <c r="F97" s="193"/>
      <c r="G97" s="193"/>
      <c r="H97" s="193"/>
      <c r="I97" s="193"/>
      <c r="J97" s="193"/>
    </row>
    <row r="99" spans="2:15">
      <c r="B99" s="257"/>
      <c r="C99" s="194"/>
      <c r="D99" s="231"/>
      <c r="E99" s="287"/>
      <c r="F99" s="232"/>
      <c r="G99" s="232"/>
      <c r="H99" s="232"/>
      <c r="I99" s="247"/>
      <c r="J99" s="195"/>
    </row>
    <row r="100" spans="2:15">
      <c r="B100" s="257"/>
      <c r="C100" s="194"/>
      <c r="D100" s="231"/>
      <c r="E100" s="287"/>
      <c r="F100" s="232"/>
      <c r="G100" s="232"/>
      <c r="H100" s="232"/>
      <c r="I100" s="247"/>
      <c r="J100" s="195"/>
    </row>
    <row r="101" spans="2:15">
      <c r="B101" s="257"/>
      <c r="C101" s="194"/>
      <c r="D101" s="231"/>
      <c r="E101" s="287"/>
      <c r="F101" s="232"/>
      <c r="G101" s="232"/>
      <c r="H101" s="232"/>
      <c r="I101" s="247"/>
      <c r="J101" s="195"/>
    </row>
    <row r="102" spans="2:15">
      <c r="B102" s="257"/>
      <c r="C102" s="194"/>
      <c r="D102" s="231"/>
      <c r="E102" s="287"/>
      <c r="F102" s="232"/>
      <c r="G102" s="232"/>
      <c r="H102" s="232"/>
      <c r="I102" s="247"/>
      <c r="J102" s="195"/>
    </row>
    <row r="103" spans="2:15">
      <c r="B103" s="257"/>
      <c r="C103" s="194"/>
      <c r="D103" s="231"/>
      <c r="E103" s="287"/>
      <c r="F103" s="232"/>
      <c r="G103" s="232"/>
      <c r="H103" s="232"/>
      <c r="I103" s="247"/>
      <c r="J103" s="195"/>
    </row>
    <row r="104" spans="2:15">
      <c r="B104" s="257"/>
      <c r="C104" s="194"/>
      <c r="D104" s="231"/>
      <c r="E104" s="287"/>
      <c r="F104" s="232"/>
      <c r="G104" s="232"/>
      <c r="H104" s="232"/>
      <c r="I104" s="247"/>
      <c r="J104" s="195"/>
    </row>
    <row r="105" spans="2:15">
      <c r="B105" s="257"/>
      <c r="C105" s="194"/>
      <c r="D105" s="231"/>
      <c r="E105" s="287"/>
      <c r="F105" s="232"/>
      <c r="G105" s="232"/>
      <c r="H105" s="232"/>
      <c r="I105" s="247"/>
      <c r="J105" s="195"/>
    </row>
    <row r="106" spans="2:15">
      <c r="B106" s="257"/>
      <c r="C106" s="194"/>
      <c r="D106" s="231"/>
      <c r="E106" s="287"/>
      <c r="F106" s="232"/>
      <c r="G106" s="232"/>
      <c r="H106" s="232"/>
      <c r="I106" s="247"/>
      <c r="J106" s="195"/>
    </row>
    <row r="107" spans="2:15">
      <c r="B107" s="257"/>
      <c r="C107" s="194"/>
      <c r="D107" s="231"/>
      <c r="E107" s="287"/>
      <c r="F107" s="232"/>
      <c r="G107" s="232"/>
      <c r="H107" s="232"/>
      <c r="I107" s="247"/>
      <c r="J107" s="195"/>
    </row>
    <row r="108" spans="2:15" ht="10.5">
      <c r="B108" s="257"/>
      <c r="C108" s="194"/>
      <c r="D108" s="231"/>
      <c r="E108" s="287"/>
      <c r="F108" s="232"/>
      <c r="G108" s="232"/>
      <c r="H108" s="232"/>
      <c r="I108" s="247"/>
      <c r="J108" s="195"/>
      <c r="K108" s="99"/>
      <c r="L108" s="99"/>
      <c r="M108" s="99"/>
      <c r="N108" s="99"/>
      <c r="O108" s="99"/>
    </row>
    <row r="109" spans="2:15">
      <c r="B109" s="257"/>
      <c r="C109" s="194"/>
      <c r="D109" s="231"/>
      <c r="E109" s="287"/>
      <c r="F109" s="232"/>
      <c r="G109" s="232"/>
      <c r="H109" s="232"/>
      <c r="I109" s="247"/>
      <c r="J109" s="195"/>
    </row>
    <row r="110" spans="2:15">
      <c r="B110" s="257"/>
      <c r="C110" s="194"/>
      <c r="D110" s="231"/>
      <c r="E110" s="287"/>
      <c r="F110" s="232"/>
      <c r="G110" s="232"/>
      <c r="H110" s="232"/>
      <c r="I110" s="247"/>
      <c r="J110" s="195"/>
    </row>
    <row r="111" spans="2:15">
      <c r="B111" s="257"/>
      <c r="C111" s="194"/>
      <c r="D111" s="231"/>
      <c r="E111" s="288"/>
      <c r="F111" s="232"/>
      <c r="G111" s="232"/>
      <c r="H111" s="232"/>
      <c r="I111" s="248"/>
      <c r="J111" s="195"/>
    </row>
    <row r="112" spans="2:15">
      <c r="B112" s="257"/>
      <c r="C112" s="194"/>
      <c r="D112" s="231"/>
      <c r="E112" s="288"/>
      <c r="F112" s="232"/>
      <c r="G112" s="232"/>
      <c r="H112" s="232"/>
      <c r="I112" s="248"/>
      <c r="J112" s="195"/>
    </row>
    <row r="113" spans="2:10">
      <c r="B113" s="257"/>
      <c r="C113" s="194"/>
      <c r="D113" s="231"/>
      <c r="E113" s="288"/>
      <c r="F113" s="232"/>
      <c r="G113" s="232"/>
      <c r="H113" s="232"/>
      <c r="I113" s="248"/>
      <c r="J113" s="195"/>
    </row>
    <row r="119" spans="2:10" ht="10.5">
      <c r="B119" s="193"/>
      <c r="C119" s="193"/>
      <c r="D119" s="193"/>
      <c r="E119" s="193"/>
      <c r="F119" s="193"/>
      <c r="G119" s="193"/>
      <c r="H119" s="193"/>
      <c r="I119" s="193"/>
    </row>
    <row r="121" spans="2:10">
      <c r="B121" s="191"/>
      <c r="C121" s="194"/>
      <c r="D121" s="195"/>
      <c r="E121" s="232"/>
      <c r="F121" s="233"/>
      <c r="G121" s="231"/>
      <c r="H121" s="195"/>
      <c r="I121" s="195"/>
    </row>
    <row r="122" spans="2:10">
      <c r="B122" s="191"/>
      <c r="C122" s="194"/>
      <c r="D122" s="195"/>
      <c r="E122" s="232"/>
      <c r="F122" s="233"/>
      <c r="G122" s="231"/>
      <c r="H122" s="195"/>
      <c r="I122" s="195"/>
    </row>
    <row r="123" spans="2:10">
      <c r="B123" s="191"/>
      <c r="C123" s="194"/>
      <c r="D123" s="195"/>
      <c r="E123" s="232"/>
      <c r="F123" s="233"/>
      <c r="G123" s="231"/>
      <c r="H123" s="195"/>
      <c r="I123" s="195"/>
    </row>
    <row r="124" spans="2:10">
      <c r="B124" s="191"/>
      <c r="C124" s="194"/>
      <c r="D124" s="195"/>
      <c r="E124" s="232"/>
      <c r="F124" s="233"/>
      <c r="G124" s="231"/>
      <c r="H124" s="195"/>
      <c r="I124" s="195"/>
    </row>
    <row r="125" spans="2:10">
      <c r="B125" s="191"/>
      <c r="C125" s="194"/>
      <c r="D125" s="195"/>
      <c r="E125" s="232"/>
      <c r="F125" s="233"/>
      <c r="G125" s="231"/>
      <c r="H125" s="195"/>
      <c r="I125" s="195"/>
    </row>
    <row r="126" spans="2:10">
      <c r="B126" s="191"/>
      <c r="C126" s="194"/>
      <c r="D126" s="195"/>
      <c r="E126" s="232"/>
      <c r="F126" s="233"/>
      <c r="G126" s="231"/>
      <c r="H126" s="195"/>
      <c r="I126" s="195"/>
    </row>
    <row r="127" spans="2:10">
      <c r="B127" s="191"/>
      <c r="C127" s="194"/>
      <c r="D127" s="195"/>
      <c r="E127" s="232"/>
      <c r="F127" s="233"/>
      <c r="G127" s="231"/>
      <c r="H127" s="195"/>
      <c r="I127" s="195"/>
    </row>
    <row r="128" spans="2:10">
      <c r="B128" s="191"/>
      <c r="C128" s="194"/>
      <c r="D128" s="195"/>
      <c r="E128" s="232"/>
      <c r="F128" s="233"/>
      <c r="G128" s="231"/>
      <c r="H128" s="195"/>
      <c r="I128" s="195"/>
    </row>
    <row r="129" spans="2:15">
      <c r="B129" s="191"/>
      <c r="C129" s="194"/>
      <c r="D129" s="195"/>
      <c r="E129" s="232"/>
      <c r="F129" s="233"/>
      <c r="G129" s="231"/>
      <c r="H129" s="195"/>
      <c r="I129" s="195"/>
    </row>
    <row r="130" spans="2:15">
      <c r="B130" s="191"/>
      <c r="C130" s="194"/>
      <c r="D130" s="195"/>
      <c r="E130" s="232"/>
      <c r="F130" s="233"/>
      <c r="G130" s="231"/>
      <c r="H130" s="195"/>
      <c r="I130" s="195"/>
    </row>
    <row r="131" spans="2:15" ht="10.5">
      <c r="B131" s="191"/>
      <c r="C131" s="194"/>
      <c r="D131" s="195"/>
      <c r="E131" s="232"/>
      <c r="F131" s="233"/>
      <c r="G131" s="231"/>
      <c r="H131" s="195"/>
      <c r="I131" s="195"/>
      <c r="J131" s="99"/>
      <c r="K131" s="99"/>
      <c r="L131" s="99"/>
      <c r="M131" s="99"/>
      <c r="N131" s="99"/>
      <c r="O131" s="99"/>
    </row>
    <row r="132" spans="2:15">
      <c r="B132" s="191"/>
      <c r="C132" s="194"/>
      <c r="D132" s="195"/>
      <c r="E132" s="232"/>
      <c r="F132" s="233"/>
      <c r="G132" s="231"/>
      <c r="H132" s="195"/>
      <c r="I132" s="195"/>
    </row>
    <row r="133" spans="2:15">
      <c r="B133" s="191"/>
      <c r="C133" s="194"/>
      <c r="D133" s="195"/>
      <c r="E133" s="232"/>
      <c r="F133" s="233"/>
      <c r="G133" s="231"/>
      <c r="H133" s="195"/>
      <c r="I133" s="195"/>
    </row>
    <row r="134" spans="2:15">
      <c r="B134" s="191"/>
      <c r="C134" s="194"/>
      <c r="D134" s="195"/>
      <c r="E134" s="232"/>
      <c r="F134" s="233"/>
      <c r="G134" s="231"/>
      <c r="H134" s="195"/>
      <c r="I134" s="195"/>
    </row>
    <row r="135" spans="2:15">
      <c r="B135" s="191"/>
      <c r="C135" s="194"/>
      <c r="D135" s="195"/>
      <c r="E135" s="232"/>
      <c r="F135" s="233"/>
      <c r="G135" s="231"/>
      <c r="H135" s="195"/>
      <c r="I135" s="195"/>
    </row>
    <row r="138" spans="2:15" ht="10.5">
      <c r="C138" s="162"/>
      <c r="D138" s="40"/>
      <c r="E138" s="40"/>
      <c r="F138" s="40"/>
    </row>
    <row r="146" spans="2:15" ht="10.5">
      <c r="B146" s="193"/>
      <c r="C146" s="193"/>
      <c r="D146" s="193"/>
    </row>
    <row r="148" spans="2:15">
      <c r="B148" s="203"/>
      <c r="C148" s="235"/>
      <c r="D148" s="235"/>
    </row>
    <row r="149" spans="2:15">
      <c r="B149" s="203"/>
      <c r="C149" s="235"/>
      <c r="D149" s="235"/>
    </row>
    <row r="150" spans="2:15">
      <c r="B150" s="203"/>
      <c r="C150" s="235"/>
      <c r="D150" s="235"/>
    </row>
    <row r="151" spans="2:15">
      <c r="B151" s="203"/>
      <c r="C151" s="235"/>
      <c r="D151" s="235"/>
    </row>
    <row r="152" spans="2:15">
      <c r="B152" s="203"/>
      <c r="C152" s="235"/>
      <c r="D152" s="235"/>
    </row>
    <row r="154" spans="2:15" ht="10.5">
      <c r="B154" s="99"/>
      <c r="C154" s="99"/>
      <c r="D154" s="99"/>
      <c r="E154" s="99"/>
      <c r="F154" s="99"/>
      <c r="G154" s="99"/>
      <c r="H154" s="99"/>
      <c r="I154" s="99"/>
      <c r="J154" s="99"/>
      <c r="K154" s="99"/>
      <c r="L154" s="99"/>
      <c r="M154" s="99"/>
      <c r="N154" s="99"/>
      <c r="O154" s="99"/>
    </row>
    <row r="161" spans="2:5" ht="10.5">
      <c r="B161" s="236"/>
      <c r="C161" s="236"/>
      <c r="D161" s="236"/>
      <c r="E161" s="236"/>
    </row>
    <row r="163" spans="2:5">
      <c r="B163" s="240"/>
      <c r="C163" s="195"/>
      <c r="D163" s="195"/>
      <c r="E163" s="195"/>
    </row>
    <row r="164" spans="2:5">
      <c r="B164" s="240"/>
      <c r="C164" s="195"/>
      <c r="D164" s="195"/>
      <c r="E164" s="195"/>
    </row>
    <row r="165" spans="2:5">
      <c r="B165" s="241"/>
      <c r="C165" s="207"/>
      <c r="D165" s="191"/>
      <c r="E165" s="191"/>
    </row>
    <row r="166" spans="2:5">
      <c r="B166" s="241"/>
      <c r="C166" s="207"/>
      <c r="D166" s="191"/>
      <c r="E166" s="191"/>
    </row>
    <row r="167" spans="2:5" ht="10.5">
      <c r="B167" s="412"/>
      <c r="C167" s="413"/>
      <c r="D167" s="413"/>
      <c r="E167" s="413"/>
    </row>
    <row r="168" spans="2:5">
      <c r="B168" s="203"/>
      <c r="C168" s="242"/>
      <c r="D168" s="207"/>
      <c r="E168" s="191"/>
    </row>
    <row r="169" spans="2:5">
      <c r="B169" s="203"/>
      <c r="C169" s="242"/>
      <c r="D169" s="207"/>
      <c r="E169" s="191"/>
    </row>
    <row r="170" spans="2:5">
      <c r="B170" s="203"/>
      <c r="C170" s="242"/>
      <c r="D170" s="207"/>
      <c r="E170" s="191"/>
    </row>
    <row r="171" spans="2:5">
      <c r="B171" s="203"/>
      <c r="C171" s="242"/>
      <c r="D171" s="207"/>
      <c r="E171" s="191"/>
    </row>
    <row r="172" spans="2:5" ht="10.5">
      <c r="B172" s="412"/>
      <c r="C172" s="414"/>
      <c r="D172" s="414"/>
      <c r="E172" s="414"/>
    </row>
    <row r="173" spans="2:5">
      <c r="B173" s="243"/>
      <c r="C173" s="244"/>
      <c r="D173" s="191"/>
      <c r="E173" s="191"/>
    </row>
    <row r="174" spans="2:5">
      <c r="B174" s="243"/>
      <c r="C174" s="244"/>
      <c r="D174" s="191"/>
      <c r="E174" s="191"/>
    </row>
    <row r="175" spans="2:5">
      <c r="B175" s="243"/>
      <c r="C175" s="244"/>
      <c r="D175" s="191"/>
      <c r="E175" s="191"/>
    </row>
    <row r="177" spans="2:15" ht="10.5">
      <c r="B177" s="99"/>
      <c r="C177" s="99"/>
      <c r="D177" s="99"/>
      <c r="E177" s="99"/>
      <c r="F177" s="99"/>
      <c r="G177" s="99"/>
      <c r="H177" s="99"/>
      <c r="I177" s="99"/>
      <c r="J177" s="99"/>
      <c r="K177" s="99"/>
      <c r="L177" s="99"/>
      <c r="M177" s="99"/>
      <c r="N177" s="99"/>
      <c r="O177" s="99"/>
    </row>
    <row r="200" spans="2:15" ht="10.5">
      <c r="B200" s="99"/>
      <c r="C200" s="99"/>
      <c r="D200" s="99"/>
      <c r="E200" s="99"/>
      <c r="F200" s="99"/>
      <c r="G200" s="99"/>
      <c r="H200" s="99"/>
      <c r="I200" s="99"/>
      <c r="J200" s="99"/>
      <c r="K200" s="99"/>
      <c r="L200" s="99"/>
      <c r="M200" s="99"/>
      <c r="N200" s="99"/>
      <c r="O200" s="99"/>
    </row>
  </sheetData>
  <mergeCells count="1">
    <mergeCell ref="A7:F7"/>
  </mergeCells>
  <conditionalFormatting sqref="B44:B47">
    <cfRule type="cellIs" dxfId="56" priority="7" operator="equal">
      <formula>"not selected"</formula>
    </cfRule>
  </conditionalFormatting>
  <conditionalFormatting sqref="B121:I135">
    <cfRule type="expression" dxfId="55" priority="1">
      <formula>MOD(ROW(),2)=0</formula>
    </cfRule>
  </conditionalFormatting>
  <conditionalFormatting sqref="B74:J88">
    <cfRule type="expression" dxfId="54" priority="5">
      <formula>MOD(ROW(),2)=0</formula>
    </cfRule>
  </conditionalFormatting>
  <conditionalFormatting sqref="B99:J113">
    <cfRule type="expression" dxfId="53" priority="4">
      <formula>MOD(ROW(),2)=0</formula>
    </cfRule>
  </conditionalFormatting>
  <conditionalFormatting sqref="G44:G48">
    <cfRule type="cellIs" dxfId="52" priority="6" operator="equal">
      <formula>"not selected"</formula>
    </cfRule>
  </conditionalFormatting>
  <conditionalFormatting sqref="H18 T18">
    <cfRule type="cellIs" dxfId="51" priority="10" operator="equal">
      <formula>"Pass"</formula>
    </cfRule>
  </conditionalFormatting>
  <conditionalFormatting sqref="H18">
    <cfRule type="dataBar" priority="8">
      <dataBar>
        <cfvo type="min"/>
        <cfvo type="max"/>
        <color rgb="FF638EC6"/>
      </dataBar>
      <extLst>
        <ext xmlns:x14="http://schemas.microsoft.com/office/spreadsheetml/2009/9/main" uri="{B025F937-C7B1-47D3-B67F-A62EFF666E3E}">
          <x14:id>{2039160E-2EEB-42A2-AC43-BEA278961135}</x14:id>
        </ext>
      </extLst>
    </cfRule>
    <cfRule type="cellIs" dxfId="50" priority="9" operator="equal">
      <formula>"Fail"</formula>
    </cfRule>
  </conditionalFormatting>
  <conditionalFormatting sqref="I121:I135">
    <cfRule type="cellIs" dxfId="49" priority="2" operator="equal">
      <formula>"N"</formula>
    </cfRule>
    <cfRule type="cellIs" dxfId="48" priority="3" operator="equal">
      <formula>"Y"</formula>
    </cfRule>
  </conditionalFormatting>
  <conditionalFormatting sqref="O16">
    <cfRule type="iconSet" priority="14">
      <iconSet>
        <cfvo type="percent" val="0"/>
        <cfvo type="num" val="$O$11"/>
        <cfvo type="num" val="$O$11*1.1"/>
      </iconSet>
    </cfRule>
  </conditionalFormatting>
  <conditionalFormatting sqref="T18">
    <cfRule type="cellIs" dxfId="47" priority="11" operator="equal">
      <formula>"Fail"</formula>
    </cfRule>
  </conditionalFormatting>
  <conditionalFormatting sqref="T20:T34">
    <cfRule type="cellIs" dxfId="46" priority="12" operator="equal">
      <formula>"Pass"</formula>
    </cfRule>
    <cfRule type="cellIs" dxfId="45" priority="13" operator="equal">
      <formula>"Fail"</formula>
    </cfRule>
  </conditionalFormatting>
  <pageMargins left="0.7" right="0.7" top="0.75" bottom="0.75" header="0.3" footer="0.3"/>
  <pageSetup orientation="portrait" horizontalDpi="90" verticalDpi="90" r:id="rId1"/>
  <extLst>
    <ext xmlns:x14="http://schemas.microsoft.com/office/spreadsheetml/2009/9/main" uri="{78C0D931-6437-407d-A8EE-F0AAD7539E65}">
      <x14:conditionalFormattings>
        <x14:conditionalFormatting xmlns:xm="http://schemas.microsoft.com/office/excel/2006/main">
          <x14:cfRule type="dataBar" id="{2039160E-2EEB-42A2-AC43-BEA278961135}">
            <x14:dataBar minLength="0" maxLength="100" gradient="0">
              <x14:cfvo type="autoMin"/>
              <x14:cfvo type="autoMax"/>
              <x14:negativeFillColor rgb="FFFF0000"/>
              <x14:axisColor rgb="FF000000"/>
            </x14:dataBar>
          </x14:cfRule>
          <xm:sqref>H18</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tabColor theme="5" tint="0.59999389629810485"/>
  </sheetPr>
  <dimension ref="A1:R137"/>
  <sheetViews>
    <sheetView workbookViewId="0">
      <selection activeCell="L35" sqref="L35:O35"/>
    </sheetView>
  </sheetViews>
  <sheetFormatPr defaultRowHeight="10"/>
  <cols>
    <col min="2" max="2" width="34.109375" customWidth="1"/>
    <col min="3" max="3" width="18.44140625" customWidth="1"/>
    <col min="4" max="4" width="51.33203125" customWidth="1"/>
    <col min="5" max="6" width="11.6640625" customWidth="1"/>
    <col min="7" max="11" width="10.6640625" customWidth="1"/>
    <col min="12" max="12" width="41.44140625" bestFit="1" customWidth="1"/>
    <col min="13" max="13" width="8.44140625" bestFit="1" customWidth="1"/>
    <col min="14" max="14" width="10.109375" bestFit="1" customWidth="1"/>
    <col min="15" max="15" width="8.44140625" bestFit="1" customWidth="1"/>
  </cols>
  <sheetData>
    <row r="1" spans="1:18">
      <c r="A1" t="s">
        <v>63</v>
      </c>
      <c r="B1" t="s">
        <v>64</v>
      </c>
      <c r="C1" t="s">
        <v>65</v>
      </c>
      <c r="D1" t="s">
        <v>66</v>
      </c>
      <c r="E1" t="s">
        <v>67</v>
      </c>
      <c r="F1" t="s">
        <v>68</v>
      </c>
      <c r="G1" t="s">
        <v>69</v>
      </c>
      <c r="H1" t="s">
        <v>70</v>
      </c>
      <c r="I1" t="s">
        <v>71</v>
      </c>
      <c r="J1" t="s">
        <v>72</v>
      </c>
      <c r="K1" t="s">
        <v>73</v>
      </c>
      <c r="L1" t="s">
        <v>74</v>
      </c>
      <c r="M1" t="s">
        <v>75</v>
      </c>
      <c r="N1" t="s">
        <v>76</v>
      </c>
    </row>
    <row r="6" spans="1:18">
      <c r="D6" s="86"/>
      <c r="E6" s="87"/>
      <c r="F6" s="87"/>
      <c r="G6" s="87"/>
      <c r="H6" s="87"/>
      <c r="I6" s="87"/>
    </row>
    <row r="7" spans="1:18">
      <c r="C7" s="60"/>
    </row>
    <row r="10" spans="1:18">
      <c r="B10" s="33"/>
      <c r="C10" s="22"/>
      <c r="D10" s="38"/>
      <c r="E10" s="38"/>
      <c r="F10" s="38"/>
      <c r="G10" s="38"/>
      <c r="H10" s="38"/>
      <c r="I10" s="38"/>
      <c r="J10" s="38"/>
      <c r="K10" s="38"/>
      <c r="L10" s="38"/>
      <c r="M10" s="38"/>
      <c r="N10" s="38"/>
    </row>
    <row r="11" spans="1:18">
      <c r="B11" s="33"/>
      <c r="C11" s="22"/>
      <c r="D11" s="94"/>
      <c r="E11" s="94"/>
      <c r="F11" s="94"/>
      <c r="G11" s="94"/>
      <c r="H11" s="94"/>
      <c r="I11" s="94"/>
      <c r="J11" s="94"/>
      <c r="K11" s="94"/>
      <c r="L11" s="94"/>
      <c r="M11" s="94"/>
      <c r="N11" s="94"/>
    </row>
    <row r="12" spans="1:18">
      <c r="C12" s="60"/>
      <c r="D12" s="95"/>
      <c r="E12" s="95"/>
      <c r="F12" s="95"/>
      <c r="G12" s="95"/>
      <c r="H12" s="95"/>
      <c r="I12" s="95"/>
      <c r="J12" s="95"/>
      <c r="K12" s="95"/>
      <c r="L12" s="95"/>
      <c r="M12" s="95"/>
      <c r="N12" s="95"/>
      <c r="O12" s="95"/>
      <c r="P12" s="95"/>
      <c r="Q12" s="95"/>
      <c r="R12" s="95"/>
    </row>
    <row r="17" spans="3:18">
      <c r="C17" s="87"/>
      <c r="O17" s="95"/>
      <c r="P17" s="95"/>
      <c r="Q17" s="95"/>
      <c r="R17" s="95"/>
    </row>
    <row r="19" spans="3:18">
      <c r="C19" s="60"/>
      <c r="D19" s="95"/>
      <c r="E19" s="95"/>
      <c r="F19" s="95"/>
      <c r="G19" s="95"/>
      <c r="H19" s="95"/>
      <c r="I19" s="95"/>
      <c r="J19" s="95"/>
      <c r="K19" s="95"/>
      <c r="L19" s="95"/>
      <c r="M19" s="95"/>
      <c r="N19" s="95"/>
      <c r="O19" s="95"/>
      <c r="P19" s="95"/>
      <c r="Q19" s="95"/>
      <c r="R19" s="95"/>
    </row>
    <row r="21" spans="3:18">
      <c r="D21" s="95"/>
      <c r="E21" s="95"/>
      <c r="F21" s="95"/>
      <c r="G21" s="95"/>
      <c r="H21" s="95"/>
      <c r="I21" s="95"/>
      <c r="J21" s="95"/>
      <c r="K21" s="95"/>
      <c r="L21" s="95"/>
      <c r="M21" s="95"/>
      <c r="N21" s="95"/>
    </row>
    <row r="25" spans="3:18">
      <c r="D25" s="95"/>
      <c r="E25" s="95"/>
      <c r="F25" s="95"/>
      <c r="G25" s="95"/>
      <c r="H25" s="95"/>
      <c r="I25" s="95"/>
      <c r="J25" s="95"/>
      <c r="K25" s="95"/>
      <c r="L25" s="95"/>
      <c r="M25" s="95"/>
      <c r="N25" s="95"/>
    </row>
    <row r="26" spans="3:18">
      <c r="C26" s="60"/>
    </row>
    <row r="30" spans="3:18">
      <c r="C30" s="60"/>
    </row>
    <row r="33" spans="2:15" ht="10.5">
      <c r="B33" s="88"/>
    </row>
    <row r="36" spans="2:15">
      <c r="D36" s="110"/>
      <c r="E36" s="110"/>
      <c r="F36" s="110"/>
      <c r="G36" s="110"/>
      <c r="H36" s="110"/>
      <c r="I36" s="110"/>
      <c r="J36" s="110"/>
      <c r="K36" s="110"/>
      <c r="L36" s="110"/>
      <c r="M36" s="110"/>
      <c r="N36" s="110"/>
    </row>
    <row r="37" spans="2:15" ht="10.5" thickBot="1">
      <c r="B37" s="147"/>
      <c r="C37" s="142"/>
      <c r="D37" s="142"/>
      <c r="E37" s="142"/>
      <c r="M37" s="252"/>
      <c r="N37" s="252"/>
      <c r="O37" s="252"/>
    </row>
    <row r="38" spans="2:15">
      <c r="M38" s="252"/>
      <c r="N38" s="252"/>
      <c r="O38" s="252"/>
    </row>
    <row r="39" spans="2:15">
      <c r="M39" s="252"/>
      <c r="N39" s="252"/>
      <c r="O39" s="252"/>
    </row>
    <row r="41" spans="2:15" ht="19">
      <c r="B41" s="97"/>
    </row>
    <row r="43" spans="2:15" ht="10.5" thickBot="1">
      <c r="B43" s="37"/>
    </row>
    <row r="49" spans="2:14">
      <c r="B49" s="57"/>
    </row>
    <row r="50" spans="2:14">
      <c r="B50" s="57"/>
    </row>
    <row r="51" spans="2:14">
      <c r="B51" s="57"/>
    </row>
    <row r="55" spans="2:14">
      <c r="C55" s="32"/>
      <c r="D55" s="32"/>
      <c r="E55" s="32"/>
      <c r="F55" s="32"/>
      <c r="G55" s="32"/>
      <c r="H55" s="32"/>
      <c r="I55" s="32"/>
      <c r="J55" s="32"/>
      <c r="K55" s="32"/>
      <c r="L55" s="32"/>
      <c r="M55" s="32"/>
      <c r="N55" s="32"/>
    </row>
    <row r="57" spans="2:14">
      <c r="C57" s="32"/>
      <c r="D57" s="32"/>
      <c r="E57" s="32"/>
      <c r="F57" s="32"/>
      <c r="G57" s="32"/>
      <c r="H57" s="32"/>
      <c r="I57" s="32"/>
      <c r="J57" s="32"/>
      <c r="K57" s="32"/>
      <c r="L57" s="32"/>
      <c r="M57" s="32"/>
      <c r="N57" s="32"/>
    </row>
    <row r="58" spans="2:14" ht="10.5">
      <c r="B58" s="88"/>
    </row>
    <row r="70" spans="2:14">
      <c r="B70" s="33"/>
      <c r="C70" s="32"/>
      <c r="D70" s="100"/>
      <c r="E70" s="100"/>
      <c r="F70" s="100"/>
      <c r="G70" s="100"/>
      <c r="H70" s="100"/>
      <c r="I70" s="100"/>
      <c r="J70" s="100"/>
      <c r="K70" s="100"/>
      <c r="L70" s="100"/>
      <c r="M70" s="100"/>
      <c r="N70" s="100"/>
    </row>
    <row r="71" spans="2:14">
      <c r="B71" s="33"/>
      <c r="C71" s="32"/>
      <c r="D71" s="100"/>
      <c r="E71" s="100"/>
      <c r="F71" s="100"/>
      <c r="G71" s="100"/>
      <c r="H71" s="100"/>
      <c r="I71" s="100"/>
      <c r="J71" s="100"/>
      <c r="K71" s="100"/>
      <c r="L71" s="100"/>
      <c r="M71" s="100"/>
      <c r="N71" s="100"/>
    </row>
    <row r="72" spans="2:14">
      <c r="B72" s="32"/>
    </row>
    <row r="73" spans="2:14">
      <c r="B73" s="32"/>
    </row>
    <row r="97" spans="3:3">
      <c r="C97" s="60"/>
    </row>
    <row r="100" spans="3:3">
      <c r="C100" s="60"/>
    </row>
    <row r="137" spans="3:3">
      <c r="C137" s="160"/>
    </row>
  </sheetData>
  <conditionalFormatting sqref="B12:B18">
    <cfRule type="cellIs" dxfId="44" priority="1" operator="equal">
      <formula>"END"</formula>
    </cfRule>
  </conditionalFormatting>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1">
    <tabColor theme="5" tint="0.59999389629810485"/>
  </sheetPr>
  <dimension ref="A1:AB201"/>
  <sheetViews>
    <sheetView workbookViewId="0">
      <selection activeCell="B81" sqref="B81"/>
    </sheetView>
  </sheetViews>
  <sheetFormatPr defaultRowHeight="10"/>
  <cols>
    <col min="1" max="1" width="22.6640625" customWidth="1"/>
    <col min="2" max="2" width="37.44140625" customWidth="1"/>
    <col min="3" max="3" width="12.6640625" customWidth="1"/>
    <col min="4" max="14" width="10.6640625" customWidth="1"/>
    <col min="15" max="15" width="15.6640625" customWidth="1"/>
    <col min="16" max="18" width="12.6640625" customWidth="1"/>
    <col min="19" max="19" width="11.109375" customWidth="1"/>
    <col min="20" max="20" width="11.44140625" customWidth="1"/>
    <col min="22" max="24" width="13.109375" customWidth="1"/>
  </cols>
  <sheetData>
    <row r="1" spans="1:28" ht="10.5">
      <c r="A1" s="65">
        <v>201</v>
      </c>
      <c r="B1" s="66">
        <v>28</v>
      </c>
      <c r="C1" s="62"/>
      <c r="D1" s="62"/>
    </row>
    <row r="2" spans="1:28" ht="10.5">
      <c r="A2" s="65"/>
      <c r="B2" s="66"/>
      <c r="C2" s="62"/>
      <c r="D2" s="62"/>
    </row>
    <row r="3" spans="1:28" ht="10.5">
      <c r="A3" s="68"/>
      <c r="B3" s="66"/>
      <c r="C3" s="62"/>
      <c r="D3" s="62"/>
    </row>
    <row r="4" spans="1:28" ht="13">
      <c r="A4" s="68"/>
      <c r="B4" s="69"/>
      <c r="C4" s="62"/>
      <c r="D4" s="62"/>
      <c r="I4" s="179"/>
      <c r="J4" s="179"/>
    </row>
    <row r="5" spans="1:28" ht="10.5">
      <c r="D5" s="91"/>
      <c r="E5" s="91"/>
      <c r="F5" s="91"/>
      <c r="G5" s="91"/>
      <c r="H5" s="91"/>
      <c r="I5" s="180"/>
      <c r="J5" s="181"/>
      <c r="K5" s="91"/>
      <c r="L5" s="91"/>
      <c r="M5" s="91"/>
      <c r="N5" s="91"/>
    </row>
    <row r="6" spans="1:28" ht="10.5">
      <c r="A6" s="82"/>
      <c r="B6" s="82"/>
      <c r="C6" s="82"/>
      <c r="D6" s="82"/>
      <c r="E6" s="82"/>
      <c r="F6" s="82"/>
      <c r="G6" s="40"/>
      <c r="H6" s="40"/>
      <c r="I6" s="186"/>
      <c r="J6" s="187"/>
      <c r="R6" s="80"/>
      <c r="S6" s="81"/>
      <c r="U6" s="82"/>
      <c r="V6" s="82"/>
      <c r="W6" s="82"/>
      <c r="X6" s="82"/>
      <c r="Y6" s="82"/>
      <c r="Z6" s="82"/>
      <c r="AA6" s="82"/>
      <c r="AB6" s="82"/>
    </row>
    <row r="7" spans="1:28" ht="10.5">
      <c r="A7" s="290"/>
      <c r="B7" s="291"/>
      <c r="C7" s="292"/>
      <c r="D7" s="290"/>
      <c r="E7" s="291"/>
      <c r="F7" s="292"/>
      <c r="G7" s="99"/>
      <c r="H7" s="99"/>
      <c r="I7" s="186"/>
      <c r="J7" s="187"/>
      <c r="K7" s="99"/>
      <c r="L7" s="99"/>
      <c r="M7" s="99"/>
      <c r="N7" s="99"/>
      <c r="O7" s="99"/>
    </row>
    <row r="8" spans="1:28" ht="10.5">
      <c r="B8" s="289"/>
      <c r="C8" s="64"/>
      <c r="D8" s="139"/>
      <c r="E8" s="115"/>
      <c r="F8" s="115"/>
      <c r="G8" s="115"/>
      <c r="H8" s="115"/>
      <c r="I8" s="186"/>
      <c r="J8" s="187"/>
      <c r="K8" s="115"/>
      <c r="L8" s="115"/>
      <c r="M8" s="115"/>
      <c r="N8" s="115"/>
      <c r="O8" s="127"/>
      <c r="P8" s="91"/>
      <c r="Q8" s="91"/>
      <c r="R8" s="91"/>
    </row>
    <row r="9" spans="1:28" ht="10.5">
      <c r="B9" s="289"/>
      <c r="C9" s="64"/>
      <c r="D9" s="139"/>
      <c r="E9" s="48"/>
      <c r="F9" s="48"/>
      <c r="G9" s="48"/>
      <c r="H9" s="48"/>
      <c r="I9" s="186"/>
      <c r="J9" s="187"/>
      <c r="K9" s="48"/>
      <c r="L9" s="48"/>
      <c r="M9" s="48"/>
      <c r="N9" s="48"/>
    </row>
    <row r="10" spans="1:28" ht="10.5">
      <c r="B10" s="289"/>
      <c r="C10" s="64"/>
      <c r="D10" s="139"/>
      <c r="E10" s="29"/>
      <c r="F10" s="29"/>
      <c r="G10" s="29"/>
      <c r="H10" s="29"/>
      <c r="I10" s="186"/>
      <c r="J10" s="187"/>
      <c r="K10" s="29"/>
      <c r="L10" s="29"/>
      <c r="M10" s="29"/>
      <c r="N10" s="29"/>
    </row>
    <row r="11" spans="1:28" ht="10.5">
      <c r="B11" s="391"/>
      <c r="C11" s="391"/>
      <c r="D11" s="391"/>
      <c r="E11" s="391"/>
      <c r="F11" s="391"/>
      <c r="G11" s="391"/>
      <c r="H11" s="391"/>
      <c r="I11" s="391"/>
      <c r="J11" s="391"/>
      <c r="K11" s="391"/>
      <c r="L11" s="391"/>
      <c r="M11" s="391"/>
      <c r="N11" s="391"/>
    </row>
    <row r="12" spans="1:28" ht="10.5">
      <c r="B12" s="234"/>
      <c r="C12" s="254"/>
      <c r="D12" s="254"/>
      <c r="E12" s="254"/>
      <c r="F12" s="254"/>
      <c r="G12" s="254"/>
      <c r="H12" s="254"/>
      <c r="I12" s="254"/>
      <c r="J12" s="254"/>
      <c r="K12" s="254"/>
      <c r="L12" s="254"/>
      <c r="M12" s="254"/>
      <c r="N12" s="254"/>
      <c r="O12" s="95"/>
      <c r="P12" s="95"/>
      <c r="Q12" s="95"/>
      <c r="R12" s="95"/>
    </row>
    <row r="13" spans="1:28">
      <c r="B13" s="289"/>
      <c r="C13" s="64"/>
      <c r="D13" s="139"/>
      <c r="I13" s="186"/>
      <c r="J13" s="187"/>
    </row>
    <row r="14" spans="1:28" ht="10.5">
      <c r="B14" s="325"/>
      <c r="C14" s="325"/>
      <c r="D14" s="325"/>
      <c r="E14" s="325"/>
      <c r="F14" s="325"/>
      <c r="G14" s="325"/>
      <c r="H14" s="325"/>
      <c r="I14" s="325"/>
      <c r="J14" s="325"/>
      <c r="K14" s="325"/>
      <c r="L14" s="325"/>
      <c r="M14" s="325"/>
      <c r="N14" s="325"/>
      <c r="O14" s="325"/>
    </row>
    <row r="15" spans="1:28" ht="10.5">
      <c r="B15" s="326"/>
      <c r="C15" s="327"/>
      <c r="D15" s="327"/>
      <c r="E15" s="327"/>
      <c r="F15" s="327"/>
      <c r="G15" s="327"/>
      <c r="H15" s="327"/>
      <c r="I15" s="327"/>
      <c r="J15" s="327"/>
      <c r="K15" s="327"/>
      <c r="L15" s="327"/>
      <c r="M15" s="327"/>
      <c r="N15" s="327"/>
      <c r="O15" s="329"/>
    </row>
    <row r="16" spans="1:28" ht="10.5">
      <c r="B16" s="29"/>
      <c r="C16" s="43"/>
      <c r="D16" s="43"/>
      <c r="E16" s="43"/>
      <c r="F16" s="43"/>
      <c r="G16" s="43"/>
      <c r="H16" s="98"/>
      <c r="I16" s="186"/>
      <c r="J16" s="187"/>
      <c r="K16" s="109"/>
      <c r="L16" s="109"/>
      <c r="M16" s="109"/>
      <c r="N16" s="109"/>
      <c r="O16" s="328"/>
    </row>
    <row r="17" spans="1:24" ht="10.5">
      <c r="B17" s="193"/>
      <c r="C17" s="193"/>
      <c r="D17" s="275"/>
      <c r="E17" s="275"/>
      <c r="F17" s="275"/>
      <c r="G17" s="275"/>
      <c r="H17" s="275"/>
      <c r="I17" s="275"/>
      <c r="J17" s="275"/>
      <c r="K17" s="275"/>
      <c r="L17" s="275"/>
      <c r="M17" s="275"/>
      <c r="N17" s="275"/>
      <c r="O17" s="275"/>
      <c r="P17" s="275"/>
      <c r="Q17" s="275"/>
      <c r="R17" s="275"/>
      <c r="S17" s="58"/>
      <c r="T17" s="91"/>
      <c r="U17" s="117"/>
      <c r="V17" s="58"/>
      <c r="W17" s="117"/>
      <c r="X17" s="117"/>
    </row>
    <row r="18" spans="1:24" ht="10.5">
      <c r="B18" s="202"/>
      <c r="C18" s="256"/>
      <c r="D18" s="276"/>
      <c r="E18" s="276"/>
      <c r="F18" s="276"/>
      <c r="G18" s="276"/>
      <c r="H18" s="276"/>
      <c r="I18" s="276"/>
      <c r="J18" s="276"/>
      <c r="K18" s="276"/>
      <c r="L18" s="276"/>
      <c r="M18" s="276"/>
      <c r="N18" s="276"/>
      <c r="O18" s="276"/>
      <c r="P18" s="276"/>
      <c r="Q18" s="276"/>
      <c r="R18" s="276"/>
      <c r="S18" s="345"/>
      <c r="T18" s="346"/>
    </row>
    <row r="19" spans="1:24" ht="11" thickBot="1">
      <c r="B19" s="182"/>
      <c r="C19" s="183"/>
      <c r="D19" s="183"/>
      <c r="E19" s="183"/>
      <c r="F19" s="183"/>
      <c r="G19" s="183"/>
      <c r="H19" s="82"/>
      <c r="I19" s="186"/>
      <c r="J19" s="187"/>
      <c r="K19" s="53"/>
      <c r="L19" s="54"/>
      <c r="M19" s="54"/>
      <c r="N19" s="55"/>
      <c r="O19" s="44"/>
      <c r="P19" s="44"/>
      <c r="Q19" s="44"/>
      <c r="R19" s="44"/>
      <c r="S19" s="56"/>
      <c r="T19" s="52"/>
      <c r="U19" s="300"/>
    </row>
    <row r="20" spans="1:24" ht="10.5">
      <c r="B20" s="184"/>
      <c r="C20" s="185"/>
      <c r="D20" s="185"/>
      <c r="E20" s="185"/>
      <c r="F20" s="185"/>
      <c r="G20" s="185"/>
      <c r="H20" s="291"/>
      <c r="I20" s="186"/>
      <c r="J20" s="187"/>
      <c r="K20" s="308"/>
      <c r="L20" s="309"/>
      <c r="M20" s="309"/>
      <c r="N20" s="55"/>
      <c r="O20" s="302"/>
      <c r="P20" s="302"/>
      <c r="Q20" s="302"/>
      <c r="R20" s="302"/>
      <c r="S20" s="56"/>
      <c r="T20" s="310"/>
      <c r="U20" s="321"/>
      <c r="V20" s="322"/>
      <c r="W20" s="324"/>
      <c r="X20" s="323"/>
    </row>
    <row r="21" spans="1:24" ht="10.5">
      <c r="B21" s="112"/>
      <c r="C21" s="138"/>
      <c r="D21" s="303"/>
      <c r="E21" s="304"/>
      <c r="F21" s="305"/>
      <c r="G21" s="293"/>
      <c r="H21" s="283"/>
      <c r="I21" s="186"/>
      <c r="J21" s="187"/>
      <c r="K21" s="308"/>
      <c r="L21" s="309"/>
      <c r="M21" s="309"/>
      <c r="N21" s="55"/>
      <c r="O21" s="302"/>
      <c r="P21" s="302"/>
      <c r="Q21" s="302"/>
      <c r="R21" s="302"/>
      <c r="S21" s="56"/>
      <c r="T21" s="310"/>
      <c r="U21" s="321"/>
      <c r="V21" s="322"/>
      <c r="W21" s="324"/>
      <c r="X21" s="323"/>
    </row>
    <row r="22" spans="1:24">
      <c r="B22" s="301"/>
      <c r="C22" s="302"/>
      <c r="D22" s="303"/>
      <c r="E22" s="304"/>
      <c r="F22" s="305"/>
      <c r="G22" s="293"/>
      <c r="H22" s="283"/>
      <c r="I22" s="186"/>
      <c r="J22" s="187"/>
      <c r="K22" s="308"/>
      <c r="L22" s="309"/>
      <c r="M22" s="309"/>
      <c r="N22" s="55"/>
      <c r="O22" s="302"/>
      <c r="P22" s="302"/>
      <c r="Q22" s="302"/>
      <c r="R22" s="302"/>
      <c r="S22" s="56"/>
      <c r="T22" s="310"/>
      <c r="U22" s="321"/>
      <c r="V22" s="322"/>
      <c r="W22" s="324"/>
      <c r="X22" s="323"/>
    </row>
    <row r="23" spans="1:24">
      <c r="B23" s="301"/>
      <c r="C23" s="302"/>
      <c r="D23" s="303"/>
      <c r="E23" s="304"/>
      <c r="F23" s="305"/>
      <c r="G23" s="293"/>
      <c r="H23" s="283"/>
      <c r="I23" s="186"/>
      <c r="J23" s="187"/>
      <c r="K23" s="308"/>
      <c r="L23" s="309"/>
      <c r="M23" s="309"/>
      <c r="N23" s="55"/>
      <c r="O23" s="302"/>
      <c r="P23" s="302"/>
      <c r="Q23" s="302"/>
      <c r="R23" s="302"/>
      <c r="S23" s="56"/>
      <c r="T23" s="310"/>
      <c r="U23" s="321"/>
      <c r="V23" s="322"/>
      <c r="W23" s="324"/>
      <c r="X23" s="323"/>
    </row>
    <row r="24" spans="1:24" ht="10.5">
      <c r="B24" s="253"/>
      <c r="C24" s="255"/>
      <c r="D24" s="253"/>
      <c r="E24" s="253"/>
      <c r="F24" s="253"/>
      <c r="G24" s="253"/>
      <c r="H24" s="253"/>
      <c r="I24" s="253"/>
      <c r="J24" s="253"/>
      <c r="K24" s="253"/>
      <c r="L24" s="253"/>
      <c r="M24" s="253"/>
      <c r="N24" s="253"/>
      <c r="O24" s="277"/>
      <c r="P24" s="277"/>
      <c r="Q24" s="277"/>
      <c r="R24" s="277"/>
      <c r="S24" s="56"/>
      <c r="T24" s="310"/>
      <c r="U24" s="321"/>
      <c r="V24" s="322"/>
      <c r="W24" s="324"/>
      <c r="X24" s="323"/>
    </row>
    <row r="25" spans="1:24" ht="10.5">
      <c r="B25" s="234"/>
      <c r="C25" s="256"/>
      <c r="D25" s="254"/>
      <c r="E25" s="254"/>
      <c r="F25" s="254"/>
      <c r="G25" s="254"/>
      <c r="H25" s="254"/>
      <c r="I25" s="254"/>
      <c r="J25" s="254"/>
      <c r="K25" s="254"/>
      <c r="L25" s="254"/>
      <c r="M25" s="254"/>
      <c r="N25" s="254"/>
      <c r="O25" s="302"/>
      <c r="P25" s="302"/>
      <c r="Q25" s="302"/>
      <c r="R25" s="302"/>
      <c r="S25" s="56"/>
      <c r="T25" s="310"/>
      <c r="U25" s="321"/>
      <c r="V25" s="322"/>
      <c r="W25" s="324"/>
      <c r="X25" s="323"/>
    </row>
    <row r="26" spans="1:24">
      <c r="B26" s="301"/>
      <c r="C26" s="302"/>
      <c r="D26" s="303"/>
      <c r="E26" s="304"/>
      <c r="F26" s="305"/>
      <c r="G26" s="203"/>
      <c r="H26" s="283"/>
      <c r="I26" s="184"/>
      <c r="J26" s="307"/>
      <c r="K26" s="308"/>
      <c r="L26" s="309"/>
      <c r="M26" s="309"/>
      <c r="N26" s="55"/>
      <c r="O26" s="302"/>
      <c r="P26" s="302"/>
      <c r="Q26" s="302"/>
      <c r="R26" s="302"/>
      <c r="S26" s="56"/>
      <c r="T26" s="310"/>
      <c r="U26" s="321"/>
      <c r="V26" s="322"/>
      <c r="W26" s="324"/>
      <c r="X26" s="323"/>
    </row>
    <row r="27" spans="1:24" ht="11" thickBot="1">
      <c r="B27" s="264"/>
      <c r="C27" s="161"/>
      <c r="D27" s="161"/>
      <c r="E27" s="265"/>
      <c r="F27" s="161"/>
      <c r="G27" s="265"/>
      <c r="H27" s="265"/>
      <c r="I27" s="266"/>
      <c r="J27" s="99"/>
      <c r="K27" s="99"/>
      <c r="L27" s="99"/>
      <c r="M27" s="99"/>
      <c r="N27" s="99"/>
      <c r="O27" s="302"/>
      <c r="P27" s="302"/>
      <c r="Q27" s="302"/>
      <c r="R27" s="302"/>
      <c r="S27" s="56"/>
      <c r="T27" s="310"/>
      <c r="U27" s="321"/>
      <c r="V27" s="322"/>
      <c r="W27" s="324"/>
      <c r="X27" s="323"/>
    </row>
    <row r="28" spans="1:24" ht="10.5">
      <c r="B28" s="205"/>
      <c r="C28" s="258"/>
      <c r="D28" s="206"/>
      <c r="E28" s="206"/>
      <c r="F28" s="206"/>
      <c r="G28" s="206"/>
      <c r="H28" s="206"/>
      <c r="I28" s="206"/>
      <c r="J28" s="206"/>
      <c r="K28" s="206"/>
      <c r="L28" s="206"/>
      <c r="M28" s="206"/>
      <c r="N28" s="206"/>
      <c r="O28" s="277"/>
      <c r="P28" s="277"/>
      <c r="Q28" s="277"/>
      <c r="R28" s="277"/>
      <c r="S28" s="56"/>
      <c r="T28" s="310"/>
      <c r="U28" s="321"/>
      <c r="V28" s="322"/>
      <c r="W28" s="324"/>
      <c r="X28" s="323"/>
    </row>
    <row r="29" spans="1:24" ht="10.5">
      <c r="B29" s="112"/>
      <c r="C29" s="140"/>
      <c r="D29" s="303"/>
      <c r="E29" s="304"/>
      <c r="F29" s="305"/>
      <c r="G29" s="305"/>
      <c r="H29" s="196"/>
      <c r="I29" s="306"/>
      <c r="J29" s="307"/>
      <c r="K29" s="308"/>
      <c r="L29" s="309"/>
      <c r="M29" s="309"/>
      <c r="N29" s="55"/>
      <c r="O29" s="302"/>
      <c r="P29" s="302"/>
      <c r="Q29" s="302"/>
      <c r="R29" s="302"/>
      <c r="S29" s="56"/>
      <c r="T29" s="310"/>
      <c r="U29" s="321"/>
      <c r="V29" s="322"/>
      <c r="W29" s="324"/>
      <c r="X29" s="323"/>
    </row>
    <row r="30" spans="1:24">
      <c r="B30" s="301"/>
      <c r="C30" s="302"/>
      <c r="D30" s="303"/>
      <c r="E30" s="304"/>
      <c r="F30" s="305"/>
      <c r="G30" s="305"/>
      <c r="H30" s="196"/>
      <c r="I30" s="306"/>
      <c r="J30" s="307"/>
      <c r="K30" s="308"/>
      <c r="L30" s="309"/>
      <c r="M30" s="309"/>
      <c r="N30" s="55"/>
      <c r="O30" s="302"/>
      <c r="P30" s="302"/>
      <c r="Q30" s="302"/>
      <c r="R30" s="302"/>
      <c r="S30" s="56"/>
      <c r="T30" s="310"/>
      <c r="U30" s="321"/>
      <c r="V30" s="322"/>
      <c r="W30" s="324"/>
      <c r="X30" s="323"/>
    </row>
    <row r="31" spans="1:24" ht="10.5">
      <c r="B31" s="205"/>
      <c r="C31" s="258"/>
      <c r="D31" s="277"/>
      <c r="E31" s="277"/>
      <c r="F31" s="277"/>
      <c r="G31" s="277"/>
      <c r="H31" s="277"/>
      <c r="I31" s="277"/>
      <c r="J31" s="277"/>
      <c r="K31" s="277"/>
      <c r="L31" s="277"/>
      <c r="M31" s="277"/>
      <c r="N31" s="277"/>
      <c r="O31" s="277"/>
      <c r="P31" s="277"/>
      <c r="Q31" s="277"/>
      <c r="R31" s="277"/>
      <c r="S31" s="56"/>
      <c r="T31" s="310"/>
      <c r="U31" s="321"/>
      <c r="V31" s="322"/>
      <c r="W31" s="324"/>
      <c r="X31" s="323"/>
    </row>
    <row r="32" spans="1:24" ht="11" thickBot="1">
      <c r="A32" s="375"/>
      <c r="B32" s="205"/>
      <c r="C32" s="258"/>
      <c r="D32" s="206"/>
      <c r="E32" s="206"/>
      <c r="F32" s="206"/>
      <c r="G32" s="206"/>
      <c r="H32" s="206"/>
      <c r="I32" s="206"/>
      <c r="J32" s="206"/>
      <c r="K32" s="206"/>
      <c r="L32" s="206"/>
      <c r="M32" s="206"/>
      <c r="N32" s="206"/>
      <c r="O32" s="302"/>
      <c r="P32" s="302"/>
      <c r="Q32" s="302"/>
      <c r="R32" s="302"/>
      <c r="S32" s="56"/>
      <c r="T32" s="310"/>
      <c r="U32" s="321"/>
      <c r="V32" s="322"/>
      <c r="W32" s="324"/>
      <c r="X32" s="323"/>
    </row>
    <row r="33" spans="2:24">
      <c r="B33" s="301"/>
      <c r="C33" s="302"/>
      <c r="D33" s="303"/>
      <c r="E33" s="304"/>
      <c r="F33" s="305"/>
      <c r="G33" s="305"/>
      <c r="H33" s="196"/>
      <c r="I33" s="306"/>
      <c r="J33" s="307"/>
      <c r="K33" s="308"/>
      <c r="L33" s="309"/>
      <c r="M33" s="309"/>
      <c r="N33" s="55"/>
      <c r="O33" s="302"/>
      <c r="P33" s="302"/>
      <c r="Q33" s="302"/>
      <c r="R33" s="302"/>
      <c r="S33" s="56"/>
      <c r="T33" s="310"/>
      <c r="U33" s="321"/>
      <c r="V33" s="322"/>
      <c r="W33" s="324"/>
      <c r="X33" s="323"/>
    </row>
    <row r="34" spans="2:24" ht="11" thickBot="1">
      <c r="B34" s="209"/>
      <c r="C34" s="259"/>
      <c r="D34" s="210"/>
      <c r="E34" s="210"/>
      <c r="F34" s="210"/>
      <c r="G34" s="210"/>
      <c r="H34" s="210"/>
      <c r="I34" s="210"/>
      <c r="J34" s="210"/>
      <c r="K34" s="210"/>
      <c r="L34" s="210"/>
      <c r="M34" s="210"/>
      <c r="N34" s="210"/>
      <c r="O34" s="312"/>
      <c r="P34" s="312"/>
      <c r="Q34" s="312"/>
      <c r="R34" s="312"/>
      <c r="S34" s="269"/>
      <c r="T34" s="320"/>
      <c r="U34" s="321"/>
      <c r="V34" s="322"/>
      <c r="W34" s="324"/>
      <c r="X34" s="323"/>
    </row>
    <row r="35" spans="2:24">
      <c r="B35" s="393"/>
      <c r="C35" s="390"/>
      <c r="D35" s="402"/>
      <c r="E35" s="402"/>
      <c r="F35" s="402"/>
      <c r="G35" s="402"/>
      <c r="H35" s="402"/>
      <c r="I35" s="402"/>
      <c r="J35" s="402"/>
      <c r="K35" s="402"/>
      <c r="L35" s="402"/>
      <c r="M35" s="402"/>
      <c r="N35" s="402"/>
      <c r="O35" s="129"/>
    </row>
    <row r="36" spans="2:24" ht="10.5">
      <c r="B36" s="260"/>
      <c r="C36" s="261"/>
      <c r="D36" s="262"/>
      <c r="E36" s="262"/>
      <c r="F36" s="262"/>
      <c r="G36" s="262"/>
      <c r="H36" s="262"/>
      <c r="I36" s="262"/>
      <c r="J36" s="262"/>
      <c r="K36" s="262"/>
      <c r="L36" s="262"/>
      <c r="M36" s="262"/>
      <c r="N36" s="262"/>
      <c r="O36" s="40"/>
    </row>
    <row r="37" spans="2:24" ht="11" thickBot="1">
      <c r="B37" s="333"/>
      <c r="C37" s="334"/>
      <c r="D37" s="335"/>
      <c r="E37" s="335"/>
      <c r="F37" s="335"/>
      <c r="G37" s="335"/>
      <c r="H37" s="335"/>
      <c r="I37" s="335"/>
      <c r="J37" s="335"/>
      <c r="K37" s="335"/>
      <c r="L37" s="335"/>
      <c r="M37" s="335"/>
      <c r="N37" s="335"/>
      <c r="O37" s="338"/>
    </row>
    <row r="38" spans="2:24" ht="10.5">
      <c r="B38" s="205"/>
      <c r="C38" s="258"/>
      <c r="D38" s="206"/>
      <c r="E38" s="122"/>
      <c r="F38" s="122"/>
      <c r="G38" s="122"/>
      <c r="H38" s="122"/>
      <c r="I38" s="122"/>
      <c r="J38" s="122"/>
      <c r="K38" s="122"/>
      <c r="L38" s="122"/>
      <c r="M38" s="122"/>
      <c r="N38" s="122"/>
      <c r="O38" s="252"/>
    </row>
    <row r="39" spans="2:24">
      <c r="B39" s="121"/>
      <c r="C39" s="104"/>
      <c r="D39" s="122"/>
      <c r="E39" s="122"/>
      <c r="F39" s="122"/>
      <c r="G39" s="122"/>
      <c r="H39" s="122"/>
      <c r="I39" s="122"/>
      <c r="J39" s="122"/>
      <c r="K39" s="122"/>
      <c r="L39" s="122"/>
      <c r="M39" s="122"/>
      <c r="N39" s="122"/>
      <c r="O39" s="252"/>
    </row>
    <row r="40" spans="2:24" ht="11" thickBot="1">
      <c r="B40" s="253"/>
      <c r="C40" s="253"/>
      <c r="D40" s="253"/>
      <c r="E40" s="253"/>
      <c r="F40" s="253"/>
      <c r="G40" s="253"/>
      <c r="H40" s="253"/>
      <c r="I40" s="253"/>
      <c r="J40" s="253"/>
      <c r="K40" s="253"/>
      <c r="L40" s="253"/>
      <c r="M40" s="253"/>
      <c r="N40" s="253"/>
      <c r="O40" s="396"/>
    </row>
    <row r="41" spans="2:24" ht="10.5">
      <c r="B41" s="234"/>
      <c r="C41" s="254"/>
      <c r="D41" s="254"/>
      <c r="E41" s="254"/>
      <c r="F41" s="254"/>
      <c r="G41" s="254"/>
      <c r="H41" s="254"/>
      <c r="I41" s="254"/>
      <c r="J41" s="254"/>
      <c r="K41" s="254"/>
      <c r="L41" s="254"/>
      <c r="M41" s="254"/>
      <c r="N41" s="254"/>
    </row>
    <row r="42" spans="2:24" ht="10.5">
      <c r="B42" s="205"/>
      <c r="C42" s="258"/>
      <c r="D42" s="206"/>
      <c r="E42" s="253"/>
      <c r="F42" s="48"/>
      <c r="G42" s="253"/>
      <c r="H42" s="253"/>
      <c r="I42" s="253"/>
      <c r="J42" s="253"/>
      <c r="K42" s="48"/>
      <c r="L42" s="48"/>
      <c r="M42" s="48"/>
      <c r="N42" s="48"/>
    </row>
    <row r="43" spans="2:24" ht="10.5">
      <c r="B43" s="234"/>
      <c r="C43" s="254"/>
      <c r="D43" s="254"/>
      <c r="E43" s="254"/>
      <c r="F43" s="29"/>
      <c r="G43" s="280"/>
      <c r="H43" s="254"/>
      <c r="I43" s="254"/>
      <c r="J43" s="254"/>
      <c r="K43" s="29"/>
      <c r="L43" s="29"/>
      <c r="M43" s="29"/>
      <c r="N43" s="29"/>
    </row>
    <row r="44" spans="2:24" ht="10.5">
      <c r="B44" s="281"/>
      <c r="C44" s="282"/>
      <c r="D44" s="282"/>
      <c r="E44" s="282"/>
      <c r="F44" s="109"/>
      <c r="G44" s="281"/>
      <c r="H44" s="195"/>
      <c r="I44" s="195"/>
      <c r="J44" s="195"/>
      <c r="K44" s="109"/>
      <c r="L44" s="109"/>
      <c r="M44" s="109"/>
      <c r="N44" s="109"/>
    </row>
    <row r="45" spans="2:24">
      <c r="B45" s="281"/>
      <c r="C45" s="282"/>
      <c r="D45" s="282"/>
      <c r="E45" s="282"/>
      <c r="F45" s="122"/>
      <c r="G45" s="281"/>
      <c r="H45" s="195"/>
      <c r="I45" s="195"/>
      <c r="J45" s="195"/>
      <c r="K45" s="122"/>
      <c r="L45" s="122"/>
      <c r="M45" s="122"/>
      <c r="N45" s="122"/>
    </row>
    <row r="46" spans="2:24" ht="11" thickBot="1">
      <c r="B46" s="209"/>
      <c r="C46" s="259"/>
      <c r="D46" s="210"/>
      <c r="E46" s="259"/>
      <c r="F46" s="259"/>
      <c r="G46" s="259"/>
      <c r="H46" s="259"/>
      <c r="I46" s="259"/>
      <c r="J46" s="259"/>
      <c r="K46" s="259"/>
      <c r="L46" s="259"/>
      <c r="M46" s="259"/>
      <c r="N46" s="259"/>
      <c r="O46" s="259"/>
      <c r="P46" s="259"/>
      <c r="Q46" s="259"/>
      <c r="R46" s="259"/>
    </row>
    <row r="47" spans="2:24">
      <c r="B47" s="211"/>
      <c r="C47" s="192"/>
      <c r="D47" s="191"/>
      <c r="E47" s="191"/>
      <c r="F47" s="191"/>
      <c r="G47" s="191"/>
      <c r="H47" s="191"/>
      <c r="I47" s="191"/>
      <c r="J47" s="191"/>
      <c r="K47" s="191"/>
      <c r="L47" s="191"/>
      <c r="M47" s="191"/>
      <c r="N47" s="191"/>
      <c r="O47" s="191"/>
      <c r="P47" s="191"/>
      <c r="Q47" s="191"/>
      <c r="R47" s="191"/>
    </row>
    <row r="48" spans="2:24" ht="10.5">
      <c r="B48" s="263"/>
      <c r="C48" s="282"/>
      <c r="D48" s="282"/>
      <c r="E48" s="282"/>
      <c r="F48" s="115"/>
      <c r="G48" s="281"/>
      <c r="H48" s="195"/>
      <c r="I48" s="195"/>
      <c r="J48" s="195"/>
      <c r="K48" s="115"/>
      <c r="L48" s="115"/>
      <c r="M48" s="115"/>
      <c r="N48" s="115"/>
    </row>
    <row r="49" spans="2:15" ht="11" thickBot="1">
      <c r="B49" s="209"/>
      <c r="C49" s="259"/>
      <c r="D49" s="210"/>
      <c r="E49" s="210"/>
      <c r="F49" s="210"/>
      <c r="G49" s="210"/>
      <c r="H49" s="210"/>
      <c r="I49" s="210"/>
      <c r="J49" s="210"/>
      <c r="K49" s="210"/>
      <c r="L49" s="210"/>
      <c r="M49" s="210"/>
      <c r="N49" s="210"/>
    </row>
    <row r="50" spans="2:15">
      <c r="B50" s="211"/>
      <c r="C50" s="191"/>
      <c r="D50" s="207"/>
      <c r="E50" s="207"/>
      <c r="F50" s="207"/>
      <c r="G50" s="207"/>
      <c r="H50" s="207"/>
      <c r="I50" s="207"/>
      <c r="J50" s="207"/>
      <c r="K50" s="207"/>
      <c r="L50" s="207"/>
      <c r="M50" s="207"/>
      <c r="N50" s="207"/>
    </row>
    <row r="51" spans="2:15" ht="10.5">
      <c r="B51" s="211"/>
      <c r="C51" s="191"/>
      <c r="D51" s="191"/>
      <c r="E51" s="191"/>
      <c r="F51" s="29"/>
      <c r="G51" s="211"/>
      <c r="H51" s="191"/>
      <c r="I51" s="191"/>
      <c r="J51" s="191"/>
      <c r="K51" s="29"/>
      <c r="L51" s="29"/>
      <c r="M51" s="29"/>
      <c r="N51" s="29"/>
    </row>
    <row r="52" spans="2:15" ht="10.5">
      <c r="B52" s="271"/>
      <c r="C52" s="109"/>
      <c r="D52" s="109"/>
      <c r="E52" s="109"/>
      <c r="F52" s="109"/>
      <c r="G52" s="109"/>
      <c r="H52" s="109"/>
      <c r="I52" s="109"/>
      <c r="J52" s="109"/>
      <c r="K52" s="109"/>
      <c r="L52" s="109"/>
      <c r="M52" s="109"/>
      <c r="N52" s="109"/>
    </row>
    <row r="54" spans="2:15" ht="10.5" thickBot="1">
      <c r="B54" s="339"/>
      <c r="C54" s="340"/>
      <c r="D54" s="410"/>
      <c r="E54" s="410"/>
      <c r="F54" s="410"/>
      <c r="G54" s="410"/>
      <c r="H54" s="410"/>
      <c r="I54" s="410"/>
      <c r="J54" s="410"/>
      <c r="K54" s="410"/>
      <c r="L54" s="410"/>
      <c r="M54" s="410"/>
      <c r="N54" s="410"/>
      <c r="O54" s="411"/>
    </row>
    <row r="55" spans="2:15">
      <c r="B55" s="119"/>
      <c r="C55" s="104"/>
      <c r="D55" s="104"/>
      <c r="E55" s="104"/>
      <c r="F55" s="104"/>
      <c r="G55" s="104"/>
      <c r="H55" s="104"/>
      <c r="I55" s="104"/>
      <c r="J55" s="104"/>
      <c r="K55" s="104"/>
      <c r="L55" s="104"/>
      <c r="M55" s="104"/>
      <c r="N55" s="104"/>
      <c r="O55" s="104"/>
    </row>
    <row r="57" spans="2:15">
      <c r="C57" s="32"/>
      <c r="D57" s="32"/>
      <c r="E57" s="32"/>
      <c r="F57" s="32"/>
      <c r="G57" s="32"/>
      <c r="H57" s="32"/>
      <c r="I57" s="32"/>
      <c r="J57" s="32"/>
      <c r="K57" s="32"/>
      <c r="L57" s="32"/>
      <c r="M57" s="32"/>
      <c r="N57" s="32"/>
    </row>
    <row r="58" spans="2:15" ht="10.5">
      <c r="B58" s="88"/>
    </row>
    <row r="61" spans="2:15" ht="10.5">
      <c r="B61" s="29"/>
      <c r="C61" s="29"/>
      <c r="D61" s="29"/>
      <c r="E61" s="29"/>
      <c r="F61" s="29"/>
      <c r="G61" s="29"/>
      <c r="H61" s="29"/>
      <c r="I61" s="29"/>
      <c r="J61" s="29"/>
      <c r="K61" s="29"/>
      <c r="L61" s="29"/>
      <c r="M61" s="29"/>
      <c r="N61" s="29"/>
      <c r="O61" s="29"/>
    </row>
    <row r="62" spans="2:15" ht="10.5">
      <c r="B62" s="108"/>
      <c r="C62" s="109"/>
      <c r="D62" s="109"/>
      <c r="E62" s="109"/>
      <c r="F62" s="109"/>
      <c r="G62" s="109"/>
      <c r="H62" s="109"/>
      <c r="I62" s="109"/>
      <c r="J62" s="109"/>
      <c r="K62" s="109"/>
      <c r="L62" s="109"/>
      <c r="M62" s="109"/>
      <c r="N62" s="109"/>
      <c r="O62" s="128"/>
    </row>
    <row r="63" spans="2:15" ht="10.5">
      <c r="B63" s="126"/>
      <c r="O63" s="131"/>
    </row>
    <row r="64" spans="2:15">
      <c r="B64" s="124"/>
      <c r="D64" s="103"/>
      <c r="E64" s="103"/>
      <c r="F64" s="103"/>
      <c r="G64" s="103"/>
      <c r="H64" s="103"/>
      <c r="I64" s="103"/>
      <c r="J64" s="103"/>
      <c r="K64" s="103"/>
      <c r="L64" s="103"/>
      <c r="M64" s="103"/>
      <c r="N64" s="103"/>
      <c r="O64" s="132"/>
    </row>
    <row r="65" spans="2:15">
      <c r="B65" s="124"/>
      <c r="D65" s="103"/>
      <c r="E65" s="103"/>
      <c r="F65" s="103"/>
      <c r="G65" s="103"/>
      <c r="H65" s="103"/>
      <c r="I65" s="103"/>
      <c r="J65" s="103"/>
      <c r="K65" s="103"/>
      <c r="L65" s="103"/>
      <c r="M65" s="103"/>
      <c r="N65" s="103"/>
      <c r="O65" s="132"/>
    </row>
    <row r="66" spans="2:15">
      <c r="B66" s="124"/>
      <c r="D66" s="103"/>
      <c r="E66" s="103"/>
      <c r="F66" s="103"/>
      <c r="G66" s="103"/>
      <c r="H66" s="103"/>
      <c r="I66" s="103"/>
      <c r="J66" s="103"/>
      <c r="K66" s="103"/>
      <c r="L66" s="103"/>
      <c r="M66" s="103"/>
      <c r="N66" s="103"/>
      <c r="O66" s="83"/>
    </row>
    <row r="67" spans="2:15" ht="10.5">
      <c r="B67" s="99"/>
      <c r="C67" s="99"/>
      <c r="D67" s="99"/>
      <c r="E67" s="99"/>
      <c r="F67" s="99"/>
      <c r="G67" s="99"/>
      <c r="H67" s="99"/>
      <c r="I67" s="99"/>
      <c r="J67" s="99"/>
      <c r="K67" s="99"/>
      <c r="L67" s="99"/>
      <c r="M67" s="99"/>
      <c r="N67" s="99"/>
      <c r="O67" s="131"/>
    </row>
    <row r="68" spans="2:15" ht="10.5">
      <c r="B68" s="169"/>
      <c r="C68" s="106"/>
      <c r="D68" s="115"/>
      <c r="E68" s="115"/>
      <c r="F68" s="115"/>
      <c r="G68" s="115"/>
      <c r="H68" s="115"/>
      <c r="I68" s="115"/>
      <c r="J68" s="115"/>
      <c r="K68" s="115"/>
      <c r="L68" s="115"/>
      <c r="M68" s="115"/>
      <c r="N68" s="115"/>
      <c r="O68" s="132"/>
    </row>
    <row r="69" spans="2:15">
      <c r="B69" s="111"/>
      <c r="D69" s="103"/>
      <c r="E69" s="103"/>
      <c r="F69" s="103"/>
      <c r="G69" s="103"/>
      <c r="H69" s="103"/>
      <c r="I69" s="103"/>
      <c r="J69" s="103"/>
      <c r="K69" s="103"/>
      <c r="L69" s="103"/>
      <c r="M69" s="103"/>
      <c r="N69" s="103"/>
      <c r="O69" s="132"/>
    </row>
    <row r="70" spans="2:15">
      <c r="B70" s="111"/>
      <c r="D70" s="103"/>
      <c r="E70" s="103"/>
      <c r="F70" s="103"/>
      <c r="G70" s="103"/>
      <c r="H70" s="103"/>
      <c r="I70" s="103"/>
      <c r="J70" s="103"/>
      <c r="K70" s="103"/>
      <c r="L70" s="103"/>
      <c r="M70" s="103"/>
      <c r="N70" s="103"/>
      <c r="O70" s="132"/>
    </row>
    <row r="71" spans="2:15" ht="10.5">
      <c r="B71" s="193"/>
      <c r="C71" s="193"/>
      <c r="D71" s="193"/>
      <c r="E71" s="193"/>
      <c r="F71" s="193"/>
      <c r="G71" s="193"/>
      <c r="H71" s="193"/>
      <c r="I71" s="193"/>
      <c r="J71" s="193"/>
      <c r="K71" s="103"/>
      <c r="L71" s="103"/>
      <c r="M71" s="103"/>
      <c r="N71" s="103"/>
      <c r="O71" s="132"/>
    </row>
    <row r="72" spans="2:15" ht="10.5">
      <c r="B72" s="202"/>
      <c r="C72" s="202"/>
      <c r="D72" s="229"/>
      <c r="E72" s="229"/>
      <c r="F72" s="230"/>
      <c r="G72" s="229"/>
      <c r="H72" s="229"/>
      <c r="I72" s="229"/>
      <c r="J72" s="229"/>
      <c r="K72" s="331"/>
      <c r="L72" s="331"/>
      <c r="M72" s="331"/>
      <c r="N72" s="331"/>
      <c r="O72" s="341"/>
    </row>
    <row r="73" spans="2:15">
      <c r="B73" s="124"/>
      <c r="D73" s="103"/>
      <c r="E73" s="103"/>
      <c r="F73" s="103"/>
      <c r="G73" s="103"/>
      <c r="H73" s="103"/>
      <c r="I73" s="103"/>
      <c r="J73" s="103"/>
      <c r="K73" s="103"/>
      <c r="L73" s="103"/>
      <c r="M73" s="103"/>
      <c r="N73" s="103"/>
      <c r="O73" s="133"/>
    </row>
    <row r="74" spans="2:15">
      <c r="B74" s="257"/>
      <c r="C74" s="194"/>
      <c r="D74" s="231"/>
      <c r="E74" s="283"/>
      <c r="F74" s="232"/>
      <c r="G74" s="195"/>
      <c r="H74" s="232"/>
      <c r="I74" s="284"/>
      <c r="J74" s="195"/>
      <c r="K74" s="103"/>
      <c r="L74" s="103"/>
      <c r="M74" s="103"/>
      <c r="N74" s="103"/>
      <c r="O74" s="132"/>
    </row>
    <row r="75" spans="2:15">
      <c r="B75" s="257"/>
      <c r="C75" s="194"/>
      <c r="D75" s="231"/>
      <c r="E75" s="283"/>
      <c r="F75" s="232"/>
      <c r="G75" s="195"/>
      <c r="H75" s="232"/>
      <c r="I75" s="284"/>
      <c r="J75" s="195"/>
      <c r="K75" s="103"/>
      <c r="L75" s="103"/>
      <c r="M75" s="103"/>
      <c r="N75" s="103"/>
      <c r="O75" s="133"/>
    </row>
    <row r="76" spans="2:15">
      <c r="B76" s="257"/>
      <c r="C76" s="194"/>
      <c r="D76" s="231"/>
      <c r="E76" s="283"/>
      <c r="F76" s="232"/>
      <c r="G76" s="195"/>
      <c r="H76" s="232"/>
      <c r="I76" s="284"/>
      <c r="J76" s="195"/>
      <c r="K76" s="103"/>
      <c r="L76" s="103"/>
      <c r="M76" s="103"/>
      <c r="N76" s="103"/>
      <c r="O76" s="132"/>
    </row>
    <row r="77" spans="2:15">
      <c r="B77" s="257"/>
      <c r="C77" s="194"/>
      <c r="D77" s="231"/>
      <c r="E77" s="283"/>
      <c r="F77" s="232"/>
      <c r="G77" s="195"/>
      <c r="H77" s="232"/>
      <c r="I77" s="284"/>
      <c r="J77" s="195"/>
      <c r="K77" s="103"/>
      <c r="L77" s="103"/>
      <c r="M77" s="103"/>
      <c r="N77" s="103"/>
      <c r="O77" s="83"/>
    </row>
    <row r="78" spans="2:15" ht="11" thickBot="1">
      <c r="B78" s="125"/>
      <c r="C78" s="107"/>
      <c r="D78" s="118"/>
      <c r="E78" s="118"/>
      <c r="F78" s="118"/>
      <c r="G78" s="118"/>
      <c r="H78" s="118"/>
      <c r="I78" s="118"/>
      <c r="J78" s="118"/>
      <c r="K78" s="118"/>
      <c r="L78" s="118"/>
      <c r="M78" s="118"/>
      <c r="N78" s="118"/>
      <c r="O78" s="130"/>
    </row>
    <row r="79" spans="2:15">
      <c r="B79" s="119"/>
    </row>
    <row r="80" spans="2:15" ht="10.5" thickBot="1">
      <c r="B80" s="401"/>
      <c r="C80" s="403"/>
      <c r="D80" s="404"/>
      <c r="E80" s="404"/>
      <c r="F80" s="404"/>
      <c r="G80" s="404"/>
      <c r="H80" s="404"/>
      <c r="I80" s="404"/>
      <c r="J80" s="404"/>
      <c r="K80" s="404"/>
      <c r="L80" s="404"/>
      <c r="M80" s="404"/>
      <c r="N80" s="404"/>
    </row>
    <row r="81" spans="2:15">
      <c r="B81" s="211"/>
      <c r="C81" s="194"/>
      <c r="D81" s="231"/>
      <c r="E81" s="283"/>
      <c r="F81" s="232"/>
      <c r="G81" s="195"/>
      <c r="H81" s="232"/>
      <c r="I81" s="284"/>
      <c r="J81" s="195"/>
    </row>
    <row r="82" spans="2:15">
      <c r="B82" s="257"/>
      <c r="C82" s="194"/>
      <c r="D82" s="231"/>
      <c r="E82" s="283"/>
      <c r="F82" s="232"/>
      <c r="G82" s="195"/>
      <c r="H82" s="232"/>
      <c r="I82" s="284"/>
      <c r="J82" s="195"/>
    </row>
    <row r="83" spans="2:15">
      <c r="B83" s="257"/>
      <c r="C83" s="194"/>
      <c r="D83" s="231"/>
      <c r="E83" s="283"/>
      <c r="F83" s="232"/>
      <c r="G83" s="195"/>
      <c r="H83" s="232"/>
      <c r="I83" s="284"/>
      <c r="J83" s="195"/>
    </row>
    <row r="84" spans="2:15">
      <c r="B84" s="257"/>
      <c r="C84" s="194"/>
      <c r="D84" s="231"/>
      <c r="E84" s="283"/>
      <c r="F84" s="232"/>
      <c r="G84" s="195"/>
      <c r="H84" s="232"/>
      <c r="I84" s="284"/>
      <c r="J84" s="195"/>
    </row>
    <row r="85" spans="2:15">
      <c r="B85" s="257"/>
      <c r="C85" s="194"/>
      <c r="D85" s="231"/>
      <c r="E85" s="283"/>
      <c r="F85" s="232"/>
      <c r="G85" s="195"/>
      <c r="H85" s="232"/>
      <c r="I85" s="284"/>
      <c r="J85" s="195"/>
    </row>
    <row r="86" spans="2:15">
      <c r="B86" s="257"/>
      <c r="C86" s="194"/>
      <c r="D86" s="231"/>
      <c r="E86" s="285"/>
      <c r="F86" s="232"/>
      <c r="G86" s="195"/>
      <c r="H86" s="232"/>
      <c r="I86" s="286"/>
      <c r="J86" s="195"/>
    </row>
    <row r="87" spans="2:15" ht="10.5">
      <c r="B87" s="257"/>
      <c r="C87" s="194"/>
      <c r="D87" s="231"/>
      <c r="E87" s="285"/>
      <c r="F87" s="232"/>
      <c r="G87" s="195"/>
      <c r="H87" s="232"/>
      <c r="I87" s="286"/>
      <c r="J87" s="195"/>
      <c r="K87" s="99"/>
      <c r="L87" s="99"/>
      <c r="M87" s="99"/>
      <c r="N87" s="99"/>
      <c r="O87" s="99"/>
    </row>
    <row r="88" spans="2:15" ht="10.5">
      <c r="B88" s="257"/>
      <c r="C88" s="194"/>
      <c r="D88" s="231"/>
      <c r="E88" s="285"/>
      <c r="F88" s="232"/>
      <c r="G88" s="195"/>
      <c r="H88" s="232"/>
      <c r="I88" s="286"/>
      <c r="J88" s="195"/>
      <c r="K88" s="115"/>
      <c r="L88" s="115"/>
      <c r="M88" s="115"/>
      <c r="N88" s="115"/>
      <c r="O88" s="127"/>
    </row>
    <row r="89" spans="2:15" ht="10.5" thickBot="1">
      <c r="B89" s="161"/>
      <c r="C89" s="161"/>
      <c r="D89" s="161"/>
      <c r="E89" s="161"/>
      <c r="F89" s="161"/>
      <c r="G89" s="161"/>
      <c r="H89" s="161"/>
      <c r="I89" s="161"/>
      <c r="J89" s="161"/>
    </row>
    <row r="94" spans="2:15" ht="10.5" thickBot="1">
      <c r="B94" s="339"/>
      <c r="C94" s="405"/>
      <c r="D94" s="406"/>
      <c r="E94" s="406"/>
      <c r="F94" s="406"/>
      <c r="G94" s="406"/>
      <c r="H94" s="406"/>
      <c r="I94" s="406"/>
      <c r="J94" s="406"/>
      <c r="K94" s="406"/>
      <c r="L94" s="406"/>
      <c r="M94" s="406"/>
      <c r="N94" s="406"/>
      <c r="O94" s="407"/>
    </row>
    <row r="95" spans="2:15">
      <c r="B95" s="119"/>
    </row>
    <row r="97" spans="2:15" ht="10.5">
      <c r="B97" s="193"/>
      <c r="C97" s="193"/>
      <c r="D97" s="193"/>
      <c r="E97" s="193"/>
      <c r="F97" s="193"/>
      <c r="G97" s="193"/>
      <c r="H97" s="193"/>
      <c r="I97" s="193"/>
      <c r="J97" s="193"/>
    </row>
    <row r="98" spans="2:15" ht="10.5">
      <c r="B98" s="202"/>
      <c r="C98" s="202"/>
      <c r="D98" s="229"/>
      <c r="E98" s="229"/>
      <c r="F98" s="229"/>
      <c r="G98" s="230"/>
      <c r="H98" s="229"/>
      <c r="I98" s="246"/>
      <c r="J98" s="229"/>
    </row>
    <row r="99" spans="2:15">
      <c r="B99" s="257"/>
      <c r="C99" s="194"/>
      <c r="D99" s="231"/>
      <c r="E99" s="287"/>
      <c r="F99" s="232"/>
      <c r="G99" s="232"/>
      <c r="H99" s="232"/>
      <c r="I99" s="247"/>
      <c r="J99" s="195"/>
    </row>
    <row r="100" spans="2:15">
      <c r="B100" s="257"/>
      <c r="C100" s="194"/>
      <c r="D100" s="231"/>
      <c r="E100" s="287"/>
      <c r="F100" s="232"/>
      <c r="G100" s="232"/>
      <c r="H100" s="232"/>
      <c r="I100" s="247"/>
      <c r="J100" s="195"/>
    </row>
    <row r="101" spans="2:15">
      <c r="B101" s="257"/>
      <c r="C101" s="194"/>
      <c r="D101" s="231"/>
      <c r="E101" s="287"/>
      <c r="F101" s="232"/>
      <c r="G101" s="232"/>
      <c r="H101" s="232"/>
      <c r="I101" s="247"/>
      <c r="J101" s="195"/>
    </row>
    <row r="102" spans="2:15">
      <c r="B102" s="257"/>
      <c r="C102" s="194"/>
      <c r="D102" s="231"/>
      <c r="E102" s="287"/>
      <c r="F102" s="232"/>
      <c r="G102" s="232"/>
      <c r="H102" s="232"/>
      <c r="I102" s="247"/>
      <c r="J102" s="195"/>
    </row>
    <row r="103" spans="2:15">
      <c r="B103" s="257"/>
      <c r="C103" s="194"/>
      <c r="D103" s="231"/>
      <c r="E103" s="287"/>
      <c r="F103" s="232"/>
      <c r="G103" s="232"/>
      <c r="H103" s="232"/>
      <c r="I103" s="247"/>
      <c r="J103" s="195"/>
    </row>
    <row r="104" spans="2:15">
      <c r="B104" s="257"/>
      <c r="C104" s="194"/>
      <c r="D104" s="231"/>
      <c r="E104" s="287"/>
      <c r="F104" s="232"/>
      <c r="G104" s="232"/>
      <c r="H104" s="232"/>
      <c r="I104" s="247"/>
      <c r="J104" s="195"/>
    </row>
    <row r="105" spans="2:15">
      <c r="B105" s="257"/>
      <c r="C105" s="194"/>
      <c r="D105" s="231"/>
      <c r="E105" s="287"/>
      <c r="F105" s="232"/>
      <c r="G105" s="232"/>
      <c r="H105" s="232"/>
      <c r="I105" s="247"/>
      <c r="J105" s="195"/>
    </row>
    <row r="106" spans="2:15">
      <c r="B106" s="257"/>
      <c r="C106" s="194"/>
      <c r="D106" s="231"/>
      <c r="E106" s="287"/>
      <c r="F106" s="232"/>
      <c r="G106" s="232"/>
      <c r="H106" s="232"/>
      <c r="I106" s="247"/>
      <c r="J106" s="195"/>
    </row>
    <row r="107" spans="2:15">
      <c r="B107" s="257"/>
      <c r="C107" s="194"/>
      <c r="D107" s="231"/>
      <c r="E107" s="287"/>
      <c r="F107" s="232"/>
      <c r="G107" s="232"/>
      <c r="H107" s="232"/>
      <c r="I107" s="247"/>
      <c r="J107" s="195"/>
    </row>
    <row r="108" spans="2:15" ht="10.5">
      <c r="B108" s="257"/>
      <c r="C108" s="194"/>
      <c r="D108" s="231"/>
      <c r="E108" s="287"/>
      <c r="F108" s="232"/>
      <c r="G108" s="232"/>
      <c r="H108" s="232"/>
      <c r="I108" s="247"/>
      <c r="J108" s="195"/>
      <c r="K108" s="99"/>
      <c r="L108" s="99"/>
      <c r="M108" s="99"/>
      <c r="N108" s="99"/>
      <c r="O108" s="99"/>
    </row>
    <row r="109" spans="2:15" ht="10.5">
      <c r="B109" s="257"/>
      <c r="C109" s="194"/>
      <c r="D109" s="231"/>
      <c r="E109" s="287"/>
      <c r="F109" s="232"/>
      <c r="G109" s="232"/>
      <c r="H109" s="232"/>
      <c r="I109" s="247"/>
      <c r="J109" s="195"/>
      <c r="K109" s="115"/>
      <c r="L109" s="115"/>
      <c r="M109" s="115"/>
      <c r="N109" s="115"/>
      <c r="O109" s="127"/>
    </row>
    <row r="110" spans="2:15">
      <c r="B110" s="257"/>
      <c r="C110" s="194"/>
      <c r="D110" s="231"/>
      <c r="E110" s="287"/>
      <c r="F110" s="232"/>
      <c r="G110" s="232"/>
      <c r="H110" s="232"/>
      <c r="I110" s="247"/>
      <c r="J110" s="195"/>
    </row>
    <row r="111" spans="2:15">
      <c r="B111" s="257"/>
      <c r="C111" s="194"/>
      <c r="D111" s="231"/>
      <c r="E111" s="288"/>
      <c r="F111" s="232"/>
      <c r="G111" s="232"/>
      <c r="H111" s="232"/>
      <c r="I111" s="248"/>
      <c r="J111" s="195"/>
    </row>
    <row r="112" spans="2:15">
      <c r="B112" s="257"/>
      <c r="C112" s="194"/>
      <c r="D112" s="231"/>
      <c r="E112" s="288"/>
      <c r="F112" s="232"/>
      <c r="G112" s="232"/>
      <c r="H112" s="232"/>
      <c r="I112" s="248"/>
      <c r="J112" s="195"/>
    </row>
    <row r="113" spans="2:10">
      <c r="B113" s="257"/>
      <c r="C113" s="194"/>
      <c r="D113" s="231"/>
      <c r="E113" s="288"/>
      <c r="F113" s="232"/>
      <c r="G113" s="232"/>
      <c r="H113" s="232"/>
      <c r="I113" s="248"/>
      <c r="J113" s="195"/>
    </row>
    <row r="114" spans="2:10" ht="10.5" thickBot="1">
      <c r="B114" s="161"/>
      <c r="C114" s="161"/>
      <c r="D114" s="161"/>
      <c r="E114" s="161"/>
      <c r="F114" s="161"/>
      <c r="G114" s="161"/>
      <c r="H114" s="161"/>
      <c r="I114" s="161"/>
      <c r="J114" s="161"/>
    </row>
    <row r="117" spans="2:10">
      <c r="C117" s="60"/>
    </row>
    <row r="119" spans="2:10" ht="10.5">
      <c r="B119" s="193"/>
      <c r="C119" s="193"/>
      <c r="D119" s="193"/>
      <c r="E119" s="193"/>
      <c r="F119" s="193"/>
      <c r="G119" s="193"/>
      <c r="H119" s="193"/>
      <c r="I119" s="193"/>
    </row>
    <row r="120" spans="2:10" ht="10.5">
      <c r="B120" s="202"/>
      <c r="C120" s="202"/>
      <c r="D120" s="230"/>
      <c r="E120" s="230"/>
      <c r="F120" s="230"/>
      <c r="G120" s="229"/>
      <c r="H120" s="229"/>
      <c r="I120" s="229"/>
    </row>
    <row r="121" spans="2:10">
      <c r="B121" s="191"/>
      <c r="C121" s="194"/>
      <c r="D121" s="195"/>
      <c r="E121" s="232"/>
      <c r="F121" s="233"/>
      <c r="G121" s="231"/>
      <c r="H121" s="195"/>
      <c r="I121" s="195"/>
    </row>
    <row r="122" spans="2:10">
      <c r="B122" s="191"/>
      <c r="C122" s="194"/>
      <c r="D122" s="195"/>
      <c r="E122" s="232"/>
      <c r="F122" s="233"/>
      <c r="G122" s="231"/>
      <c r="H122" s="195"/>
      <c r="I122" s="195"/>
    </row>
    <row r="123" spans="2:10">
      <c r="B123" s="191"/>
      <c r="C123" s="194"/>
      <c r="D123" s="195"/>
      <c r="E123" s="232"/>
      <c r="F123" s="233"/>
      <c r="G123" s="231"/>
      <c r="H123" s="195"/>
      <c r="I123" s="195"/>
    </row>
    <row r="124" spans="2:10">
      <c r="B124" s="191"/>
      <c r="C124" s="194"/>
      <c r="D124" s="195"/>
      <c r="E124" s="232"/>
      <c r="F124" s="233"/>
      <c r="G124" s="231"/>
      <c r="H124" s="195"/>
      <c r="I124" s="195"/>
    </row>
    <row r="125" spans="2:10">
      <c r="B125" s="191"/>
      <c r="C125" s="194"/>
      <c r="D125" s="195"/>
      <c r="E125" s="232"/>
      <c r="F125" s="233"/>
      <c r="G125" s="231"/>
      <c r="H125" s="195"/>
      <c r="I125" s="195"/>
    </row>
    <row r="126" spans="2:10">
      <c r="B126" s="191"/>
      <c r="C126" s="194"/>
      <c r="D126" s="195"/>
      <c r="E126" s="232"/>
      <c r="F126" s="233"/>
      <c r="G126" s="231"/>
      <c r="H126" s="195"/>
      <c r="I126" s="195"/>
    </row>
    <row r="127" spans="2:10">
      <c r="B127" s="191"/>
      <c r="C127" s="194"/>
      <c r="D127" s="195"/>
      <c r="E127" s="232"/>
      <c r="F127" s="233"/>
      <c r="G127" s="231"/>
      <c r="H127" s="195"/>
      <c r="I127" s="195"/>
    </row>
    <row r="128" spans="2:10">
      <c r="B128" s="191"/>
      <c r="C128" s="194"/>
      <c r="D128" s="195"/>
      <c r="E128" s="232"/>
      <c r="F128" s="233"/>
      <c r="G128" s="231"/>
      <c r="H128" s="195"/>
      <c r="I128" s="195"/>
    </row>
    <row r="129" spans="2:15">
      <c r="B129" s="191"/>
      <c r="C129" s="194"/>
      <c r="D129" s="195"/>
      <c r="E129" s="232"/>
      <c r="F129" s="233"/>
      <c r="G129" s="231"/>
      <c r="H129" s="195"/>
      <c r="I129" s="195"/>
    </row>
    <row r="130" spans="2:15">
      <c r="B130" s="191"/>
      <c r="C130" s="194"/>
      <c r="D130" s="195"/>
      <c r="E130" s="232"/>
      <c r="F130" s="233"/>
      <c r="G130" s="231"/>
      <c r="H130" s="195"/>
      <c r="I130" s="195"/>
    </row>
    <row r="131" spans="2:15" ht="10.5">
      <c r="B131" s="191"/>
      <c r="C131" s="194"/>
      <c r="D131" s="195"/>
      <c r="E131" s="232"/>
      <c r="F131" s="233"/>
      <c r="G131" s="231"/>
      <c r="H131" s="195"/>
      <c r="I131" s="195"/>
      <c r="J131" s="99"/>
      <c r="K131" s="99"/>
      <c r="L131" s="99"/>
      <c r="M131" s="99"/>
      <c r="N131" s="99"/>
      <c r="O131" s="99"/>
    </row>
    <row r="132" spans="2:15" ht="10.5">
      <c r="B132" s="191"/>
      <c r="C132" s="194"/>
      <c r="D132" s="195"/>
      <c r="E132" s="232"/>
      <c r="F132" s="233"/>
      <c r="G132" s="231"/>
      <c r="H132" s="195"/>
      <c r="I132" s="195"/>
      <c r="J132" s="115"/>
      <c r="K132" s="115"/>
      <c r="L132" s="115"/>
      <c r="M132" s="115"/>
      <c r="N132" s="115"/>
      <c r="O132" s="127"/>
    </row>
    <row r="133" spans="2:15">
      <c r="B133" s="191"/>
      <c r="C133" s="194"/>
      <c r="D133" s="195"/>
      <c r="E133" s="232"/>
      <c r="F133" s="233"/>
      <c r="G133" s="231"/>
      <c r="H133" s="195"/>
      <c r="I133" s="195"/>
    </row>
    <row r="134" spans="2:15">
      <c r="B134" s="191"/>
      <c r="C134" s="194"/>
      <c r="D134" s="195"/>
      <c r="E134" s="232"/>
      <c r="F134" s="233"/>
      <c r="G134" s="231"/>
      <c r="H134" s="195"/>
      <c r="I134" s="195"/>
    </row>
    <row r="135" spans="2:15">
      <c r="B135" s="191"/>
      <c r="C135" s="194"/>
      <c r="D135" s="195"/>
      <c r="E135" s="232"/>
      <c r="F135" s="233"/>
      <c r="G135" s="231"/>
      <c r="H135" s="195"/>
      <c r="I135" s="195"/>
    </row>
    <row r="136" spans="2:15" ht="10.5" thickBot="1">
      <c r="B136" s="161"/>
      <c r="C136" s="161"/>
      <c r="D136" s="161"/>
      <c r="E136" s="161"/>
      <c r="F136" s="161"/>
      <c r="G136" s="161"/>
      <c r="H136" s="161"/>
      <c r="I136" s="161"/>
    </row>
    <row r="137" spans="2:15">
      <c r="B137" s="211"/>
      <c r="C137" s="160"/>
    </row>
    <row r="138" spans="2:15" ht="10.5">
      <c r="C138" s="162"/>
      <c r="D138" s="40"/>
      <c r="E138" s="40"/>
      <c r="F138" s="40"/>
    </row>
    <row r="139" spans="2:15" ht="10.5">
      <c r="C139" s="146"/>
      <c r="D139" s="164"/>
      <c r="E139" s="115"/>
      <c r="F139" s="198"/>
    </row>
    <row r="146" spans="2:15" ht="11" thickBot="1">
      <c r="B146" s="193"/>
      <c r="C146" s="193"/>
      <c r="D146" s="193"/>
      <c r="E146" s="348"/>
      <c r="F146" s="351"/>
    </row>
    <row r="147" spans="2:15" ht="10.5">
      <c r="B147" s="234"/>
      <c r="C147" s="234"/>
      <c r="D147" s="234"/>
    </row>
    <row r="148" spans="2:15">
      <c r="B148" s="203"/>
      <c r="C148" s="235"/>
      <c r="D148" s="235"/>
    </row>
    <row r="149" spans="2:15">
      <c r="B149" s="203"/>
      <c r="C149" s="235"/>
      <c r="D149" s="235"/>
    </row>
    <row r="150" spans="2:15">
      <c r="B150" s="203"/>
      <c r="C150" s="235"/>
      <c r="D150" s="235"/>
    </row>
    <row r="151" spans="2:15">
      <c r="B151" s="203"/>
      <c r="C151" s="235"/>
      <c r="D151" s="235"/>
    </row>
    <row r="152" spans="2:15">
      <c r="B152" s="203"/>
      <c r="C152" s="235"/>
      <c r="D152" s="235"/>
    </row>
    <row r="153" spans="2:15" ht="11" thickBot="1">
      <c r="B153" s="209"/>
      <c r="C153" s="210"/>
      <c r="D153" s="210"/>
    </row>
    <row r="154" spans="2:15" ht="10.5">
      <c r="B154" s="211"/>
      <c r="C154" s="99"/>
      <c r="D154" s="99"/>
      <c r="E154" s="99"/>
      <c r="F154" s="99"/>
      <c r="G154" s="99"/>
      <c r="H154" s="99"/>
      <c r="I154" s="99"/>
      <c r="J154" s="99"/>
      <c r="K154" s="99"/>
      <c r="L154" s="99"/>
      <c r="M154" s="99"/>
      <c r="N154" s="99"/>
      <c r="O154" s="99"/>
    </row>
    <row r="155" spans="2:15" ht="10.5">
      <c r="B155" s="169"/>
      <c r="C155" s="106"/>
      <c r="D155" s="115"/>
      <c r="E155" s="115"/>
      <c r="F155" s="115"/>
      <c r="G155" s="115"/>
      <c r="H155" s="115"/>
      <c r="I155" s="115"/>
      <c r="J155" s="115"/>
      <c r="K155" s="115"/>
      <c r="L155" s="115"/>
      <c r="M155" s="115"/>
      <c r="N155" s="115"/>
      <c r="O155" s="127"/>
    </row>
    <row r="161" spans="2:5" ht="10.5">
      <c r="B161" s="236"/>
      <c r="C161" s="236"/>
      <c r="D161" s="236"/>
      <c r="E161" s="236"/>
    </row>
    <row r="162" spans="2:5" ht="10.5">
      <c r="B162" s="237"/>
      <c r="C162" s="238"/>
      <c r="D162" s="238"/>
      <c r="E162" s="238"/>
    </row>
    <row r="163" spans="2:5">
      <c r="B163" s="240"/>
      <c r="C163" s="195"/>
      <c r="D163" s="195"/>
      <c r="E163" s="195"/>
    </row>
    <row r="164" spans="2:5">
      <c r="B164" s="240"/>
      <c r="C164" s="195"/>
      <c r="D164" s="195"/>
      <c r="E164" s="195"/>
    </row>
    <row r="165" spans="2:5">
      <c r="B165" s="241"/>
      <c r="C165" s="207"/>
      <c r="D165" s="191"/>
      <c r="E165" s="191"/>
    </row>
    <row r="166" spans="2:5">
      <c r="B166" s="241"/>
      <c r="C166" s="207"/>
      <c r="D166" s="191"/>
      <c r="E166" s="191"/>
    </row>
    <row r="167" spans="2:5" ht="10.5">
      <c r="B167" s="412"/>
      <c r="C167" s="413"/>
      <c r="D167" s="413"/>
      <c r="E167" s="413"/>
    </row>
    <row r="168" spans="2:5">
      <c r="B168" s="203"/>
      <c r="C168" s="242"/>
      <c r="D168" s="207"/>
      <c r="E168" s="191"/>
    </row>
    <row r="169" spans="2:5">
      <c r="B169" s="203"/>
      <c r="C169" s="242"/>
      <c r="D169" s="207"/>
      <c r="E169" s="191"/>
    </row>
    <row r="170" spans="2:5">
      <c r="B170" s="203"/>
      <c r="C170" s="242"/>
      <c r="D170" s="207"/>
      <c r="E170" s="191"/>
    </row>
    <row r="171" spans="2:5">
      <c r="B171" s="203"/>
      <c r="C171" s="242"/>
      <c r="D171" s="207"/>
      <c r="E171" s="191"/>
    </row>
    <row r="172" spans="2:5" ht="10.5">
      <c r="B172" s="412"/>
      <c r="C172" s="414"/>
      <c r="D172" s="414"/>
      <c r="E172" s="414"/>
    </row>
    <row r="173" spans="2:5">
      <c r="B173" s="243"/>
      <c r="C173" s="244"/>
      <c r="D173" s="191"/>
      <c r="E173" s="191"/>
    </row>
    <row r="174" spans="2:5">
      <c r="B174" s="243"/>
      <c r="C174" s="244"/>
      <c r="D174" s="191"/>
      <c r="E174" s="191"/>
    </row>
    <row r="175" spans="2:5">
      <c r="B175" s="243"/>
      <c r="C175" s="244"/>
      <c r="D175" s="191"/>
      <c r="E175" s="191"/>
    </row>
    <row r="176" spans="2:5" ht="11" thickBot="1">
      <c r="B176" s="209"/>
      <c r="C176" s="245"/>
      <c r="D176" s="245"/>
      <c r="E176" s="245"/>
    </row>
    <row r="177" spans="2:15" ht="10.5">
      <c r="B177" s="211"/>
      <c r="C177" s="99"/>
      <c r="D177" s="99"/>
      <c r="E177" s="99"/>
      <c r="F177" s="99"/>
      <c r="G177" s="99"/>
      <c r="H177" s="99"/>
      <c r="I177" s="99"/>
      <c r="J177" s="99"/>
      <c r="K177" s="99"/>
      <c r="L177" s="99"/>
      <c r="M177" s="99"/>
      <c r="N177" s="99"/>
      <c r="O177" s="99"/>
    </row>
    <row r="178" spans="2:15" ht="10.5">
      <c r="B178" s="169"/>
      <c r="C178" s="106"/>
      <c r="D178" s="115"/>
      <c r="E178" s="115"/>
      <c r="F178" s="115"/>
      <c r="G178" s="115"/>
      <c r="H178" s="115"/>
      <c r="I178" s="115"/>
      <c r="J178" s="115"/>
      <c r="K178" s="115"/>
      <c r="L178" s="115"/>
      <c r="M178" s="115"/>
      <c r="N178" s="115"/>
      <c r="O178" s="127"/>
    </row>
    <row r="200" spans="2:15" ht="10.5">
      <c r="B200" s="99"/>
      <c r="C200" s="99"/>
      <c r="D200" s="99"/>
      <c r="E200" s="99"/>
      <c r="F200" s="99"/>
      <c r="G200" s="99"/>
      <c r="H200" s="99"/>
      <c r="I200" s="99"/>
      <c r="J200" s="99"/>
      <c r="K200" s="99"/>
      <c r="L200" s="99"/>
      <c r="M200" s="99"/>
      <c r="N200" s="99"/>
      <c r="O200" s="99"/>
    </row>
    <row r="201" spans="2:15" ht="10.5">
      <c r="B201" s="169"/>
      <c r="C201" s="106"/>
      <c r="D201" s="115"/>
      <c r="E201" s="115"/>
      <c r="F201" s="115"/>
      <c r="G201" s="115"/>
      <c r="H201" s="115"/>
      <c r="I201" s="115"/>
      <c r="J201" s="115"/>
      <c r="K201" s="115"/>
      <c r="L201" s="115"/>
      <c r="M201" s="115"/>
      <c r="N201" s="115"/>
      <c r="O201" s="127"/>
    </row>
  </sheetData>
  <conditionalFormatting sqref="B13">
    <cfRule type="cellIs" dxfId="43" priority="82" operator="equal">
      <formula>"END"</formula>
    </cfRule>
  </conditionalFormatting>
  <conditionalFormatting sqref="B44:B45">
    <cfRule type="cellIs" dxfId="42" priority="24" operator="equal">
      <formula>"not selected"</formula>
    </cfRule>
  </conditionalFormatting>
  <conditionalFormatting sqref="B27:I27">
    <cfRule type="expression" dxfId="41" priority="22">
      <formula>MOD(ROW(),2)=0</formula>
    </cfRule>
  </conditionalFormatting>
  <conditionalFormatting sqref="B121:I135">
    <cfRule type="expression" dxfId="40" priority="3">
      <formula>MOD(ROW(),2)=0</formula>
    </cfRule>
  </conditionalFormatting>
  <conditionalFormatting sqref="B74:J77 C81:J81 B82:J88">
    <cfRule type="expression" dxfId="39" priority="21">
      <formula>MOD(ROW(),2)=0</formula>
    </cfRule>
  </conditionalFormatting>
  <conditionalFormatting sqref="B99:J113">
    <cfRule type="expression" dxfId="38" priority="6">
      <formula>MOD(ROW(),2)=0</formula>
    </cfRule>
  </conditionalFormatting>
  <conditionalFormatting sqref="B52:N52">
    <cfRule type="cellIs" dxfId="37" priority="63" operator="equal">
      <formula>0</formula>
    </cfRule>
  </conditionalFormatting>
  <conditionalFormatting sqref="B68:N68">
    <cfRule type="cellIs" dxfId="36" priority="46" operator="equal">
      <formula>"FYTEF"</formula>
    </cfRule>
  </conditionalFormatting>
  <conditionalFormatting sqref="B155:O155">
    <cfRule type="cellIs" dxfId="35" priority="32" operator="equal">
      <formula>"FYTEF"</formula>
    </cfRule>
  </conditionalFormatting>
  <conditionalFormatting sqref="B178:O178">
    <cfRule type="cellIs" dxfId="34" priority="29" operator="equal">
      <formula>"FYTEF"</formula>
    </cfRule>
  </conditionalFormatting>
  <conditionalFormatting sqref="B201:O201">
    <cfRule type="cellIs" dxfId="33" priority="26" operator="equal">
      <formula>"FYTEF"</formula>
    </cfRule>
  </conditionalFormatting>
  <conditionalFormatting sqref="B8:R8">
    <cfRule type="cellIs" dxfId="32" priority="52" operator="equal">
      <formula>"FYTEF"</formula>
    </cfRule>
  </conditionalFormatting>
  <conditionalFormatting sqref="C9:N9">
    <cfRule type="cellIs" dxfId="31" priority="94" operator="equal">
      <formula>"FYTEF"</formula>
    </cfRule>
  </conditionalFormatting>
  <conditionalFormatting sqref="C15:N15">
    <cfRule type="cellIs" dxfId="30" priority="2" operator="equal">
      <formula>"FYTE"</formula>
    </cfRule>
  </conditionalFormatting>
  <conditionalFormatting sqref="C62:O62">
    <cfRule type="cellIs" dxfId="29" priority="74" operator="equal">
      <formula>"FYTE"</formula>
    </cfRule>
  </conditionalFormatting>
  <conditionalFormatting sqref="D5:N5">
    <cfRule type="cellIs" dxfId="28" priority="86" operator="equal">
      <formula>"FYTEF"</formula>
    </cfRule>
  </conditionalFormatting>
  <conditionalFormatting sqref="D12:N12">
    <cfRule type="cellIs" dxfId="27" priority="17" operator="equal">
      <formula>"FYTEF"</formula>
    </cfRule>
    <cfRule type="cellIs" dxfId="26" priority="18" operator="equal">
      <formula>0</formula>
    </cfRule>
    <cfRule type="cellIs" dxfId="25" priority="19" operator="equal">
      <formula>"DELETE"</formula>
    </cfRule>
  </conditionalFormatting>
  <conditionalFormatting sqref="D25:N25">
    <cfRule type="cellIs" dxfId="24" priority="14" operator="equal">
      <formula>"FYTEF"</formula>
    </cfRule>
    <cfRule type="cellIs" dxfId="23" priority="15" operator="equal">
      <formula>0</formula>
    </cfRule>
    <cfRule type="cellIs" dxfId="22" priority="16" operator="equal">
      <formula>"DELETE"</formula>
    </cfRule>
  </conditionalFormatting>
  <conditionalFormatting sqref="D41:N41">
    <cfRule type="cellIs" dxfId="21" priority="11" operator="equal">
      <formula>"FYTEF"</formula>
    </cfRule>
    <cfRule type="cellIs" dxfId="20" priority="12" operator="equal">
      <formula>0</formula>
    </cfRule>
    <cfRule type="cellIs" dxfId="19" priority="13" operator="equal">
      <formula>"DELETE"</formula>
    </cfRule>
  </conditionalFormatting>
  <conditionalFormatting sqref="D52:N52">
    <cfRule type="cellIs" dxfId="18" priority="62" operator="equal">
      <formula>"FYTEF"</formula>
    </cfRule>
  </conditionalFormatting>
  <conditionalFormatting sqref="D80:N80">
    <cfRule type="cellIs" dxfId="17" priority="7" operator="lessThan">
      <formula>0</formula>
    </cfRule>
  </conditionalFormatting>
  <conditionalFormatting sqref="D18:R18">
    <cfRule type="cellIs" dxfId="16" priority="20" operator="equal">
      <formula>"FYTEF"</formula>
    </cfRule>
  </conditionalFormatting>
  <conditionalFormatting sqref="E146">
    <cfRule type="dataBar" priority="55">
      <dataBar>
        <cfvo type="min"/>
        <cfvo type="max"/>
        <color rgb="FF638EC6"/>
      </dataBar>
    </cfRule>
  </conditionalFormatting>
  <conditionalFormatting sqref="F42 K42:N42">
    <cfRule type="cellIs" dxfId="15" priority="90" operator="equal">
      <formula>"FYTEF"</formula>
    </cfRule>
  </conditionalFormatting>
  <conditionalFormatting sqref="F44 K44:N44">
    <cfRule type="cellIs" dxfId="14" priority="64" operator="equal">
      <formula>"FYTEF"</formula>
    </cfRule>
    <cfRule type="cellIs" dxfId="13" priority="65" operator="equal">
      <formula>0</formula>
    </cfRule>
  </conditionalFormatting>
  <conditionalFormatting sqref="F48 K48:N48">
    <cfRule type="cellIs" dxfId="12" priority="49" operator="equal">
      <formula>"FYTEF"</formula>
    </cfRule>
  </conditionalFormatting>
  <conditionalFormatting sqref="F146">
    <cfRule type="dataBar" priority="54">
      <dataBar>
        <cfvo type="min"/>
        <cfvo type="max"/>
        <color rgb="FF638EC6"/>
      </dataBar>
    </cfRule>
  </conditionalFormatting>
  <conditionalFormatting sqref="G44:G45 G48">
    <cfRule type="cellIs" dxfId="11" priority="23" operator="equal">
      <formula>"not selected"</formula>
    </cfRule>
  </conditionalFormatting>
  <conditionalFormatting sqref="I121:I135">
    <cfRule type="cellIs" dxfId="10" priority="4" operator="equal">
      <formula>"N"</formula>
    </cfRule>
    <cfRule type="cellIs" dxfId="9" priority="5" operator="equal">
      <formula>"Y"</formula>
    </cfRule>
  </conditionalFormatting>
  <conditionalFormatting sqref="J132:O132">
    <cfRule type="cellIs" dxfId="8" priority="36" operator="equal">
      <formula>"FYTEF"</formula>
    </cfRule>
  </conditionalFormatting>
  <conditionalFormatting sqref="K16:N16">
    <cfRule type="cellIs" dxfId="7" priority="76" operator="equal">
      <formula>0</formula>
    </cfRule>
    <cfRule type="cellIs" dxfId="6" priority="77" operator="equal">
      <formula>"FYTEF"</formula>
    </cfRule>
  </conditionalFormatting>
  <conditionalFormatting sqref="K88:O88">
    <cfRule type="cellIs" dxfId="5" priority="43" operator="equal">
      <formula>"FYTEF"</formula>
    </cfRule>
  </conditionalFormatting>
  <conditionalFormatting sqref="K109:O109">
    <cfRule type="cellIs" dxfId="4" priority="40" operator="equal">
      <formula>"FYTEF"</formula>
    </cfRule>
  </conditionalFormatting>
  <conditionalFormatting sqref="O16">
    <cfRule type="iconSet" priority="78">
      <iconSet>
        <cfvo type="percent" val="0"/>
        <cfvo type="num" val="$O$11"/>
        <cfvo type="num" val="$O$11*1.1"/>
      </iconSet>
    </cfRule>
  </conditionalFormatting>
  <conditionalFormatting sqref="T18">
    <cfRule type="cellIs" dxfId="3" priority="58" operator="equal">
      <formula>"Pass"</formula>
    </cfRule>
    <cfRule type="cellIs" dxfId="2" priority="59" operator="equal">
      <formula>"Fail"</formula>
    </cfRule>
  </conditionalFormatting>
  <conditionalFormatting sqref="T20:T34">
    <cfRule type="cellIs" dxfId="1" priority="60" operator="equal">
      <formula>"Pass"</formula>
    </cfRule>
    <cfRule type="cellIs" dxfId="0" priority="61" operator="equal">
      <formula>"Fail"</formula>
    </cfRule>
  </conditionalFormatting>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8DF7E553BFB84093FF865736AEFC66" ma:contentTypeVersion="13" ma:contentTypeDescription="Create a new document." ma:contentTypeScope="" ma:versionID="4386d3960cf3d567c17107f5c6da0351">
  <xsd:schema xmlns:xsd="http://www.w3.org/2001/XMLSchema" xmlns:xs="http://www.w3.org/2001/XMLSchema" xmlns:p="http://schemas.microsoft.com/office/2006/metadata/properties" xmlns:ns2="38e78b56-7bea-4154-860d-7dcd2ffab1ba" xmlns:ns3="5ace1a05-ae52-4048-85a1-b0eac4a590d4" targetNamespace="http://schemas.microsoft.com/office/2006/metadata/properties" ma:root="true" ma:fieldsID="7ea765a072bb90ef1851e038b1f92b7c" ns2:_="" ns3:_="">
    <xsd:import namespace="38e78b56-7bea-4154-860d-7dcd2ffab1ba"/>
    <xsd:import namespace="5ace1a05-ae52-4048-85a1-b0eac4a590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e78b56-7bea-4154-860d-7dcd2ffab1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ace1a05-ae52-4048-85a1-b0eac4a590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A4B924-55EF-4C96-81A3-CB5497E238CD}">
  <ds:schemaRefs>
    <ds:schemaRef ds:uri="http://schemas.microsoft.com/sharepoint/v3/contenttype/forms"/>
  </ds:schemaRefs>
</ds:datastoreItem>
</file>

<file path=customXml/itemProps2.xml><?xml version="1.0" encoding="utf-8"?>
<ds:datastoreItem xmlns:ds="http://schemas.openxmlformats.org/officeDocument/2006/customXml" ds:itemID="{5CDF543E-FCA9-4D94-B313-862ECF61679E}">
  <ds:schemaRefs>
    <ds:schemaRef ds:uri="http://schemas.microsoft.com/office/2006/documentManagement/types"/>
    <ds:schemaRef ds:uri="5ace1a05-ae52-4048-85a1-b0eac4a590d4"/>
    <ds:schemaRef ds:uri="http://purl.org/dc/elements/1.1/"/>
    <ds:schemaRef ds:uri="http://schemas.openxmlformats.org/package/2006/metadata/core-properties"/>
    <ds:schemaRef ds:uri="http://www.w3.org/XML/1998/namespace"/>
    <ds:schemaRef ds:uri="http://schemas.microsoft.com/office/infopath/2007/PartnerControls"/>
    <ds:schemaRef ds:uri="http://purl.org/dc/terms/"/>
    <ds:schemaRef ds:uri="38e78b56-7bea-4154-860d-7dcd2ffab1ba"/>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DC19E16-6423-4435-A771-F05B9ECBE3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e78b56-7bea-4154-860d-7dcd2ffab1ba"/>
    <ds:schemaRef ds:uri="5ace1a05-ae52-4048-85a1-b0eac4a590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23</vt:i4>
      </vt:variant>
    </vt:vector>
  </HeadingPairs>
  <TitlesOfParts>
    <vt:vector size="41" baseType="lpstr">
      <vt:lpstr>Cover</vt:lpstr>
      <vt:lpstr>Input</vt:lpstr>
      <vt:lpstr>Historicals</vt:lpstr>
      <vt:lpstr>Forecast</vt:lpstr>
      <vt:lpstr>Combined</vt:lpstr>
      <vt:lpstr>Comps</vt:lpstr>
      <vt:lpstr>Comps Financials</vt:lpstr>
      <vt:lpstr>C0</vt:lpstr>
      <vt:lpstr>WACC</vt:lpstr>
      <vt:lpstr>DCF</vt:lpstr>
      <vt:lpstr>Market </vt:lpstr>
      <vt:lpstr>C5</vt:lpstr>
      <vt:lpstr>Charts - Target KPI's</vt:lpstr>
      <vt:lpstr>Charts - Peer Analysis</vt:lpstr>
      <vt:lpstr>Other support--&gt;</vt:lpstr>
      <vt:lpstr>Size Premium</vt:lpstr>
      <vt:lpstr>DLOM DLOC</vt:lpstr>
      <vt:lpstr>UPSLIDE_UndoFormatting</vt:lpstr>
      <vt:lpstr>case</vt:lpstr>
      <vt:lpstr>control.pre</vt:lpstr>
      <vt:lpstr>ctry</vt:lpstr>
      <vt:lpstr>curr</vt:lpstr>
      <vt:lpstr>DLOM</vt:lpstr>
      <vt:lpstr>h.cash.conv</vt:lpstr>
      <vt:lpstr>h.COGS</vt:lpstr>
      <vt:lpstr>h.Inv</vt:lpstr>
      <vt:lpstr>h.other.op.exp</vt:lpstr>
      <vt:lpstr>h.salary.exp</vt:lpstr>
      <vt:lpstr>h.sales</vt:lpstr>
      <vt:lpstr>h.selling.exp</vt:lpstr>
      <vt:lpstr>h.TP</vt:lpstr>
      <vt:lpstr>h.TR</vt:lpstr>
      <vt:lpstr>midyear</vt:lpstr>
      <vt:lpstr>next.fy</vt:lpstr>
      <vt:lpstr>pcent</vt:lpstr>
      <vt:lpstr>Subject</vt:lpstr>
      <vt:lpstr>tax</vt:lpstr>
      <vt:lpstr>tv.growth</vt:lpstr>
      <vt:lpstr>units</vt:lpstr>
      <vt:lpstr>vd</vt:lpstr>
      <vt:lpstr>wacc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Huy Nguyen</dc:creator>
  <cp:lastModifiedBy>Bilal Noorgat</cp:lastModifiedBy>
  <dcterms:created xsi:type="dcterms:W3CDTF">2019-07-11T09:08:43Z</dcterms:created>
  <dcterms:modified xsi:type="dcterms:W3CDTF">2026-05-13T07:08:40Z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0x010100B78DF7E553BFB84093FF865736AEFC66</vt:lpwstr>
  </property>
  <property fmtid="{D5CDD505-2E9C-101B-9397-08002B2CF9AE}" pid="3" name="Order">
    <vt:r8>1500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A44787D4-0540-4523-9961-78E4036D8C6D}">
    <vt:lpwstr>{D6E15C97-6978-44B3-9AE1-1211B9901263}</vt:lpwstr>
  </property>
</Properties>
</file>